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activeTab="2"/>
  </bookViews>
  <sheets>
    <sheet name="Top Sheet" sheetId="9" r:id="rId1"/>
    <sheet name="Summary New Year" sheetId="20" r:id="rId2"/>
    <sheet name="Annual Report" sheetId="35" r:id="rId3"/>
    <sheet name="New Year-Full Year" sheetId="1" r:id="rId4"/>
    <sheet name="Analysis of Rates" sheetId="36" state="hidden" r:id="rId5"/>
    <sheet name="Pastor" sheetId="21" r:id="rId6"/>
    <sheet name="Comparison" sheetId="32" state="hidden" r:id="rId7"/>
    <sheet name="Assoc. Pastor" sheetId="29" r:id="rId8"/>
    <sheet name="Band and Other Music" sheetId="22" r:id="rId9"/>
    <sheet name="Rates for Cheryl" sheetId="24" r:id="rId10"/>
    <sheet name="Pie Chart" sheetId="27" state="hidden" r:id="rId11"/>
    <sheet name="Expenses" sheetId="28" state="hidden" r:id="rId12"/>
    <sheet name="Benevolence" sheetId="31" state="hidden" r:id="rId13"/>
    <sheet name="Dec Council Meeting" sheetId="34" state="hidden" r:id="rId14"/>
    <sheet name="Options" sheetId="33" r:id="rId15"/>
  </sheets>
  <externalReferences>
    <externalReference r:id="rId16"/>
  </externalReferences>
  <definedNames>
    <definedName name="Bud_Yr">'Top Sheet'!$C$2</definedName>
    <definedName name="dddd" localSheetId="4">#REF!</definedName>
    <definedName name="dddd" localSheetId="7">#REF!</definedName>
    <definedName name="dddd">#REF!</definedName>
    <definedName name="_xlnm.Print_Titles" localSheetId="11">Expenses!$2:$4</definedName>
    <definedName name="_xlnm.Print_Titles" localSheetId="3">'New Year-Full Year'!$2:$4</definedName>
    <definedName name="_xlnm.Print_Titles" localSheetId="1">'Summary New Year'!$1:$5</definedName>
  </definedNames>
  <calcPr calcId="124519"/>
</workbook>
</file>

<file path=xl/calcChain.xml><?xml version="1.0" encoding="utf-8"?>
<calcChain xmlns="http://schemas.openxmlformats.org/spreadsheetml/2006/main">
  <c r="C15" i="24"/>
  <c r="C14"/>
  <c r="W4" i="21"/>
  <c r="W16"/>
  <c r="P158" i="1"/>
  <c r="Q125"/>
  <c r="P125"/>
  <c r="X128"/>
  <c r="H126"/>
  <c r="H127"/>
  <c r="H128"/>
  <c r="L128"/>
  <c r="B19" i="20"/>
  <c r="C23"/>
  <c r="C24"/>
  <c r="C25"/>
  <c r="C26"/>
  <c r="C27"/>
  <c r="C28"/>
  <c r="C29"/>
  <c r="C30"/>
  <c r="C22"/>
  <c r="B21"/>
  <c r="B20"/>
  <c r="E23"/>
  <c r="F23"/>
  <c r="J23"/>
  <c r="K23"/>
  <c r="E24"/>
  <c r="F24"/>
  <c r="J24"/>
  <c r="K24"/>
  <c r="E25"/>
  <c r="F25"/>
  <c r="J25"/>
  <c r="K25"/>
  <c r="E26"/>
  <c r="F26"/>
  <c r="J26"/>
  <c r="K26"/>
  <c r="E27"/>
  <c r="F27"/>
  <c r="J27"/>
  <c r="K27"/>
  <c r="E28"/>
  <c r="F28"/>
  <c r="J28"/>
  <c r="K28"/>
  <c r="E29"/>
  <c r="F29"/>
  <c r="J29"/>
  <c r="K29"/>
  <c r="E30"/>
  <c r="F30"/>
  <c r="J30"/>
  <c r="K30"/>
  <c r="K22"/>
  <c r="J22"/>
  <c r="F22"/>
  <c r="E22"/>
  <c r="V93" i="1"/>
  <c r="U93"/>
  <c r="V80"/>
  <c r="U80"/>
  <c r="U15"/>
  <c r="I11" i="29"/>
  <c r="J11"/>
  <c r="K3" s="1"/>
  <c r="J4"/>
  <c r="J23"/>
  <c r="J28" s="1"/>
  <c r="J33" s="1"/>
  <c r="J27"/>
  <c r="J13" s="1"/>
  <c r="J42"/>
  <c r="J53"/>
  <c r="K26" i="21"/>
  <c r="Q26"/>
  <c r="V7"/>
  <c r="D6" i="24"/>
  <c r="C42"/>
  <c r="C41"/>
  <c r="C38"/>
  <c r="C37"/>
  <c r="C36"/>
  <c r="C35"/>
  <c r="C31"/>
  <c r="C26"/>
  <c r="C25"/>
  <c r="C32"/>
  <c r="C27"/>
  <c r="C28"/>
  <c r="P12" i="22"/>
  <c r="C20" i="24" s="1"/>
  <c r="P108" i="1"/>
  <c r="F126"/>
  <c r="I119"/>
  <c r="E119"/>
  <c r="K11" i="21"/>
  <c r="K4" s="1"/>
  <c r="S6"/>
  <c r="T6"/>
  <c r="U6"/>
  <c r="V6"/>
  <c r="R6"/>
  <c r="G27" i="20" l="1"/>
  <c r="G23"/>
  <c r="H28"/>
  <c r="H23"/>
  <c r="J31"/>
  <c r="H27"/>
  <c r="L23"/>
  <c r="L26"/>
  <c r="E31"/>
  <c r="L30"/>
  <c r="L29"/>
  <c r="L27"/>
  <c r="L22"/>
  <c r="G29"/>
  <c r="G28"/>
  <c r="H24"/>
  <c r="G25"/>
  <c r="G24"/>
  <c r="L25"/>
  <c r="H30"/>
  <c r="H29"/>
  <c r="G26"/>
  <c r="H25"/>
  <c r="K31"/>
  <c r="H22"/>
  <c r="L28"/>
  <c r="L24"/>
  <c r="F31"/>
  <c r="G30"/>
  <c r="H26"/>
  <c r="G22"/>
  <c r="I4" i="29"/>
  <c r="J15"/>
  <c r="J18" l="1"/>
  <c r="J19" s="1"/>
  <c r="S17" i="21"/>
  <c r="T17"/>
  <c r="U17"/>
  <c r="V17"/>
  <c r="R17"/>
  <c r="S22"/>
  <c r="T22"/>
  <c r="U22"/>
  <c r="V22"/>
  <c r="S23"/>
  <c r="T23"/>
  <c r="U23"/>
  <c r="V23"/>
  <c r="R23"/>
  <c r="R22"/>
  <c r="S28"/>
  <c r="T28"/>
  <c r="U28"/>
  <c r="V28"/>
  <c r="R28"/>
  <c r="S29"/>
  <c r="T29"/>
  <c r="U29"/>
  <c r="V29"/>
  <c r="R29"/>
  <c r="S33"/>
  <c r="T33"/>
  <c r="U33"/>
  <c r="V33"/>
  <c r="R33"/>
  <c r="S43"/>
  <c r="T43"/>
  <c r="U43"/>
  <c r="V43"/>
  <c r="S44"/>
  <c r="T44"/>
  <c r="U44"/>
  <c r="V44"/>
  <c r="R44"/>
  <c r="R43"/>
  <c r="S54"/>
  <c r="T54"/>
  <c r="U54"/>
  <c r="V54"/>
  <c r="S55"/>
  <c r="T55"/>
  <c r="U55"/>
  <c r="V55"/>
  <c r="S57"/>
  <c r="T57"/>
  <c r="U57"/>
  <c r="V57"/>
  <c r="R57"/>
  <c r="R55"/>
  <c r="R54"/>
  <c r="P110" i="1"/>
  <c r="Q110"/>
  <c r="R43" i="22"/>
  <c r="P43"/>
  <c r="P51" s="1"/>
  <c r="P36"/>
  <c r="P35"/>
  <c r="P19"/>
  <c r="P6"/>
  <c r="P14" s="1"/>
  <c r="P102" i="1"/>
  <c r="P101"/>
  <c r="P100"/>
  <c r="P99"/>
  <c r="P94"/>
  <c r="Q102"/>
  <c r="Q101"/>
  <c r="Q100"/>
  <c r="Q99"/>
  <c r="Q94"/>
  <c r="I53" i="29"/>
  <c r="I42"/>
  <c r="I27"/>
  <c r="I13" s="1"/>
  <c r="I23"/>
  <c r="I28" s="1"/>
  <c r="I33" s="1"/>
  <c r="P90" i="1"/>
  <c r="P88"/>
  <c r="P82"/>
  <c r="Q90"/>
  <c r="Q88"/>
  <c r="Q82"/>
  <c r="Q58" i="21"/>
  <c r="Q59" s="1"/>
  <c r="Q46"/>
  <c r="Q30"/>
  <c r="Q14" s="1"/>
  <c r="Q24"/>
  <c r="Q31" s="1"/>
  <c r="Q36" s="1"/>
  <c r="R11"/>
  <c r="D8" i="24"/>
  <c r="D20" i="35"/>
  <c r="D19"/>
  <c r="D18"/>
  <c r="D17"/>
  <c r="C20"/>
  <c r="C19"/>
  <c r="C18"/>
  <c r="C17"/>
  <c r="B20"/>
  <c r="B19"/>
  <c r="B18"/>
  <c r="B17"/>
  <c r="F132" i="1"/>
  <c r="E27" i="36"/>
  <c r="U24" i="21" l="1"/>
  <c r="U26" s="1"/>
  <c r="T30"/>
  <c r="T14" s="1"/>
  <c r="V30"/>
  <c r="V14" s="1"/>
  <c r="J37" i="29"/>
  <c r="J31"/>
  <c r="J32" s="1"/>
  <c r="J34" s="1"/>
  <c r="J35" s="1"/>
  <c r="J43"/>
  <c r="J44" s="1"/>
  <c r="V46" i="21"/>
  <c r="S24"/>
  <c r="S31" s="1"/>
  <c r="S36" s="1"/>
  <c r="T46"/>
  <c r="T24"/>
  <c r="T31" s="1"/>
  <c r="T36" s="1"/>
  <c r="S46"/>
  <c r="S58"/>
  <c r="S59" s="1"/>
  <c r="S30"/>
  <c r="S14" s="1"/>
  <c r="R58"/>
  <c r="R59" s="1"/>
  <c r="U46"/>
  <c r="V24"/>
  <c r="V26" s="1"/>
  <c r="T58"/>
  <c r="T59" s="1"/>
  <c r="U58"/>
  <c r="U59" s="1"/>
  <c r="V58"/>
  <c r="V59" s="1"/>
  <c r="U31"/>
  <c r="U36" s="1"/>
  <c r="R24"/>
  <c r="R26" s="1"/>
  <c r="U30"/>
  <c r="U14" s="1"/>
  <c r="R30"/>
  <c r="R14" s="1"/>
  <c r="R16" s="1"/>
  <c r="R46"/>
  <c r="P89" i="1"/>
  <c r="P21" i="22"/>
  <c r="P27" s="1"/>
  <c r="P54"/>
  <c r="P56" s="1"/>
  <c r="P59" s="1"/>
  <c r="P16"/>
  <c r="P20" s="1"/>
  <c r="P31"/>
  <c r="P33" s="1"/>
  <c r="P38" s="1"/>
  <c r="P41" s="1"/>
  <c r="P115" i="1" s="1"/>
  <c r="P45" i="22"/>
  <c r="P48" s="1"/>
  <c r="P52" s="1"/>
  <c r="P114" i="1" s="1"/>
  <c r="I15" i="29"/>
  <c r="T26" i="21"/>
  <c r="E30" i="36"/>
  <c r="F30" s="1"/>
  <c r="F36"/>
  <c r="F37"/>
  <c r="F38"/>
  <c r="H36"/>
  <c r="H18"/>
  <c r="H38"/>
  <c r="H37"/>
  <c r="G37"/>
  <c r="I35"/>
  <c r="I17"/>
  <c r="G36"/>
  <c r="G38"/>
  <c r="H30"/>
  <c r="G30"/>
  <c r="H27"/>
  <c r="G27"/>
  <c r="F27"/>
  <c r="F28" s="1"/>
  <c r="F29" s="1"/>
  <c r="H24"/>
  <c r="G24"/>
  <c r="F24"/>
  <c r="H21"/>
  <c r="G21"/>
  <c r="F21"/>
  <c r="G18"/>
  <c r="F18"/>
  <c r="H12"/>
  <c r="F13" s="1"/>
  <c r="F14" s="1"/>
  <c r="G12"/>
  <c r="H6"/>
  <c r="G6"/>
  <c r="C14" i="31"/>
  <c r="C13"/>
  <c r="C12"/>
  <c r="C11"/>
  <c r="C10"/>
  <c r="C9"/>
  <c r="C8"/>
  <c r="C7"/>
  <c r="C6"/>
  <c r="S26" i="21" l="1"/>
  <c r="J55" i="29"/>
  <c r="V31" i="21"/>
  <c r="V36" s="1"/>
  <c r="R31"/>
  <c r="R36" s="1"/>
  <c r="I18" i="29"/>
  <c r="P93" i="1"/>
  <c r="P28" i="22"/>
  <c r="P29" s="1"/>
  <c r="P22"/>
  <c r="R18" i="21"/>
  <c r="R19" s="1"/>
  <c r="F6" i="36"/>
  <c r="F39"/>
  <c r="F40" s="1"/>
  <c r="G39"/>
  <c r="G40" s="1"/>
  <c r="G31"/>
  <c r="G32" s="1"/>
  <c r="F31"/>
  <c r="F32" s="1"/>
  <c r="F19"/>
  <c r="F20" s="1"/>
  <c r="G19"/>
  <c r="G20" s="1"/>
  <c r="F25"/>
  <c r="F26" s="1"/>
  <c r="G25"/>
  <c r="G26" s="1"/>
  <c r="G28"/>
  <c r="G29" s="1"/>
  <c r="F22"/>
  <c r="F23" s="1"/>
  <c r="G22"/>
  <c r="G23" s="1"/>
  <c r="G7"/>
  <c r="G8" s="1"/>
  <c r="G13"/>
  <c r="G14" s="1"/>
  <c r="C4" i="31"/>
  <c r="H11" i="34"/>
  <c r="I19" i="29" l="1"/>
  <c r="P95" i="1"/>
  <c r="P61" i="22"/>
  <c r="P113" i="1"/>
  <c r="R47" i="21"/>
  <c r="R50" s="1"/>
  <c r="R51" s="1"/>
  <c r="R40"/>
  <c r="R34"/>
  <c r="R35" s="1"/>
  <c r="R37" s="1"/>
  <c r="R38" s="1"/>
  <c r="F7" i="36"/>
  <c r="F8" s="1"/>
  <c r="G21" i="35"/>
  <c r="E21"/>
  <c r="E12"/>
  <c r="E14" s="1"/>
  <c r="R61" i="21" l="1"/>
  <c r="I37" i="29"/>
  <c r="P96" i="1" s="1"/>
  <c r="I43" i="29"/>
  <c r="I44" s="1"/>
  <c r="I31"/>
  <c r="I32" s="1"/>
  <c r="I34" s="1"/>
  <c r="I35" s="1"/>
  <c r="B21" i="35"/>
  <c r="E23"/>
  <c r="D21"/>
  <c r="C21"/>
  <c r="E7" i="31"/>
  <c r="D7" s="1"/>
  <c r="E8"/>
  <c r="D8" s="1"/>
  <c r="E9"/>
  <c r="D9" s="1"/>
  <c r="E10"/>
  <c r="D10" s="1"/>
  <c r="E11"/>
  <c r="D11" s="1"/>
  <c r="E12"/>
  <c r="D12" s="1"/>
  <c r="E13"/>
  <c r="D13" s="1"/>
  <c r="E14"/>
  <c r="D14" s="1"/>
  <c r="E6"/>
  <c r="D6" s="1"/>
  <c r="J13" i="34"/>
  <c r="J10"/>
  <c r="C14"/>
  <c r="E7"/>
  <c r="E13" s="1"/>
  <c r="I55" i="29" l="1"/>
  <c r="P98" i="1"/>
  <c r="D15" i="31"/>
  <c r="E11" i="34"/>
  <c r="E14" s="1"/>
  <c r="I7" i="21"/>
  <c r="I4"/>
  <c r="AH121" i="1" l="1"/>
  <c r="AI121"/>
  <c r="AJ121"/>
  <c r="AK90"/>
  <c r="J75" i="20"/>
  <c r="K75"/>
  <c r="E6" i="29"/>
  <c r="H9" i="36" l="1"/>
  <c r="F9" s="1"/>
  <c r="F42" s="1"/>
  <c r="D56" i="22"/>
  <c r="D59" s="1"/>
  <c r="D54"/>
  <c r="D48"/>
  <c r="D45"/>
  <c r="D43"/>
  <c r="D51" s="1"/>
  <c r="D36"/>
  <c r="D35"/>
  <c r="D33"/>
  <c r="D27"/>
  <c r="D16"/>
  <c r="D20" s="1"/>
  <c r="D19"/>
  <c r="D21"/>
  <c r="K58" i="21"/>
  <c r="Q89" i="1" s="1"/>
  <c r="K46" i="21"/>
  <c r="K30"/>
  <c r="K14" s="1"/>
  <c r="K24"/>
  <c r="Q31" i="1"/>
  <c r="E4" i="29"/>
  <c r="P6" i="21"/>
  <c r="L4"/>
  <c r="M6"/>
  <c r="N6"/>
  <c r="O6"/>
  <c r="O58"/>
  <c r="O59" s="1"/>
  <c r="O46"/>
  <c r="O30"/>
  <c r="O14" s="1"/>
  <c r="O24"/>
  <c r="O26" s="1"/>
  <c r="P58"/>
  <c r="P59" s="1"/>
  <c r="N58"/>
  <c r="N59" s="1"/>
  <c r="M58"/>
  <c r="M59" s="1"/>
  <c r="L58"/>
  <c r="L59" s="1"/>
  <c r="P46"/>
  <c r="N46"/>
  <c r="M46"/>
  <c r="L46"/>
  <c r="P30"/>
  <c r="P14" s="1"/>
  <c r="N30"/>
  <c r="N14" s="1"/>
  <c r="M30"/>
  <c r="M14" s="1"/>
  <c r="L30"/>
  <c r="L14" s="1"/>
  <c r="P24"/>
  <c r="P31" s="1"/>
  <c r="P36" s="1"/>
  <c r="N24"/>
  <c r="N31" s="1"/>
  <c r="N36" s="1"/>
  <c r="M24"/>
  <c r="M31" s="1"/>
  <c r="M36" s="1"/>
  <c r="L24"/>
  <c r="L31" s="1"/>
  <c r="L36" s="1"/>
  <c r="F16" i="32"/>
  <c r="C12"/>
  <c r="C13" s="1"/>
  <c r="F13"/>
  <c r="F12"/>
  <c r="G12"/>
  <c r="G13" s="1"/>
  <c r="G9"/>
  <c r="G6"/>
  <c r="G4"/>
  <c r="D13"/>
  <c r="D10"/>
  <c r="D7"/>
  <c r="D4"/>
  <c r="F4"/>
  <c r="C4"/>
  <c r="D33" i="29"/>
  <c r="C33"/>
  <c r="C13"/>
  <c r="D13"/>
  <c r="E11"/>
  <c r="K4" s="1"/>
  <c r="D8" i="35" l="1"/>
  <c r="D22" i="22"/>
  <c r="D28"/>
  <c r="D29" s="1"/>
  <c r="D61" s="1"/>
  <c r="D38"/>
  <c r="D41" s="1"/>
  <c r="K59" i="21"/>
  <c r="R4"/>
  <c r="F10" i="36"/>
  <c r="F11" s="1"/>
  <c r="H42"/>
  <c r="D52" i="22"/>
  <c r="K31" i="21"/>
  <c r="K36" s="1"/>
  <c r="O31"/>
  <c r="O36" s="1"/>
  <c r="M26"/>
  <c r="P26"/>
  <c r="L26"/>
  <c r="N26"/>
  <c r="C6" i="32"/>
  <c r="C7" s="1"/>
  <c r="E27" i="29"/>
  <c r="E13" s="1"/>
  <c r="E15" s="1"/>
  <c r="E23"/>
  <c r="U31" i="1"/>
  <c r="C8" i="35" s="1"/>
  <c r="V31" i="1"/>
  <c r="W30"/>
  <c r="S30"/>
  <c r="R30"/>
  <c r="W29"/>
  <c r="S29"/>
  <c r="R29"/>
  <c r="W28"/>
  <c r="S28"/>
  <c r="R28"/>
  <c r="W27"/>
  <c r="S27"/>
  <c r="R27"/>
  <c r="W26"/>
  <c r="S26"/>
  <c r="R26"/>
  <c r="W25"/>
  <c r="S25"/>
  <c r="R25"/>
  <c r="W24"/>
  <c r="S24"/>
  <c r="R24"/>
  <c r="S23"/>
  <c r="R23"/>
  <c r="W22"/>
  <c r="AD70"/>
  <c r="AE70"/>
  <c r="AF70"/>
  <c r="AD72"/>
  <c r="AE72"/>
  <c r="AF72"/>
  <c r="AD73"/>
  <c r="AE73"/>
  <c r="AF73"/>
  <c r="AE69"/>
  <c r="AF69"/>
  <c r="AD69"/>
  <c r="AE68"/>
  <c r="AF68"/>
  <c r="AD68"/>
  <c r="G4" i="20"/>
  <c r="D11" i="29"/>
  <c r="C11"/>
  <c r="D51"/>
  <c r="D50"/>
  <c r="D47"/>
  <c r="D46"/>
  <c r="C21"/>
  <c r="D21" s="1"/>
  <c r="C5"/>
  <c r="D5"/>
  <c r="I58" i="21"/>
  <c r="F6" i="31"/>
  <c r="E15"/>
  <c r="B111" i="20"/>
  <c r="B110"/>
  <c r="B109"/>
  <c r="B107"/>
  <c r="B106"/>
  <c r="B104"/>
  <c r="B97"/>
  <c r="B96"/>
  <c r="B95"/>
  <c r="B88"/>
  <c r="B87"/>
  <c r="B80"/>
  <c r="B79"/>
  <c r="B71"/>
  <c r="B70"/>
  <c r="B63"/>
  <c r="B62"/>
  <c r="B55"/>
  <c r="B54"/>
  <c r="B52"/>
  <c r="B49"/>
  <c r="B48"/>
  <c r="B46"/>
  <c r="B42"/>
  <c r="B41"/>
  <c r="B33"/>
  <c r="B18"/>
  <c r="B13"/>
  <c r="B7"/>
  <c r="F8" i="31"/>
  <c r="G8"/>
  <c r="F9"/>
  <c r="G9"/>
  <c r="F10"/>
  <c r="G10"/>
  <c r="F11"/>
  <c r="G11"/>
  <c r="F12"/>
  <c r="G12"/>
  <c r="F13"/>
  <c r="G13"/>
  <c r="F14"/>
  <c r="G14"/>
  <c r="G7"/>
  <c r="F7"/>
  <c r="F4"/>
  <c r="E4"/>
  <c r="W122" i="1"/>
  <c r="Q93" l="1"/>
  <c r="E18" i="29"/>
  <c r="Q95" i="1" s="1"/>
  <c r="R22"/>
  <c r="P31"/>
  <c r="B8" i="35" s="1"/>
  <c r="G9" i="36"/>
  <c r="C9" i="32"/>
  <c r="C10" s="1"/>
  <c r="E28" i="29"/>
  <c r="E33" s="1"/>
  <c r="W23" i="1"/>
  <c r="S22"/>
  <c r="G6" i="31"/>
  <c r="C15"/>
  <c r="F15"/>
  <c r="C22" i="24"/>
  <c r="C21"/>
  <c r="C54" i="22"/>
  <c r="C56" s="1"/>
  <c r="C59" s="1"/>
  <c r="C43"/>
  <c r="C45" s="1"/>
  <c r="C48" s="1"/>
  <c r="C36"/>
  <c r="C35"/>
  <c r="C33"/>
  <c r="C21"/>
  <c r="C27" s="1"/>
  <c r="C19"/>
  <c r="C16"/>
  <c r="I30" i="21"/>
  <c r="I14" s="1"/>
  <c r="G10" i="36" l="1"/>
  <c r="G11" s="1"/>
  <c r="G42"/>
  <c r="R31" i="1"/>
  <c r="AD75"/>
  <c r="AF75"/>
  <c r="AE75"/>
  <c r="C51" i="22"/>
  <c r="C52" s="1"/>
  <c r="C20"/>
  <c r="C28" s="1"/>
  <c r="C29" s="1"/>
  <c r="C38"/>
  <c r="C41" s="1"/>
  <c r="G14" i="21"/>
  <c r="R94" i="1"/>
  <c r="C42" i="29"/>
  <c r="C4"/>
  <c r="W97" i="1"/>
  <c r="S97"/>
  <c r="R97"/>
  <c r="W102"/>
  <c r="S102"/>
  <c r="V103"/>
  <c r="K77" i="20" s="1"/>
  <c r="U103" i="1"/>
  <c r="J77" i="20" s="1"/>
  <c r="AJ101" i="1"/>
  <c r="AI101"/>
  <c r="AH101"/>
  <c r="W101"/>
  <c r="S101"/>
  <c r="W100"/>
  <c r="S100"/>
  <c r="W99"/>
  <c r="S99"/>
  <c r="W98"/>
  <c r="W96"/>
  <c r="W95"/>
  <c r="W94"/>
  <c r="S94"/>
  <c r="C15" i="29" l="1"/>
  <c r="C61" i="22"/>
  <c r="C22"/>
  <c r="C53" i="29"/>
  <c r="AH103" i="1"/>
  <c r="D53" i="29"/>
  <c r="R102" i="1"/>
  <c r="R99"/>
  <c r="W93"/>
  <c r="R100"/>
  <c r="R101"/>
  <c r="W103"/>
  <c r="AI103"/>
  <c r="AJ103"/>
  <c r="S93"/>
  <c r="H122"/>
  <c r="E42" i="29"/>
  <c r="D42"/>
  <c r="I59" i="21"/>
  <c r="I46"/>
  <c r="I24"/>
  <c r="I26" s="1"/>
  <c r="C18" i="29" l="1"/>
  <c r="C19" s="1"/>
  <c r="C31" s="1"/>
  <c r="C32" s="1"/>
  <c r="C37" s="1"/>
  <c r="C35" s="1"/>
  <c r="E53"/>
  <c r="I31" i="21"/>
  <c r="I36" s="1"/>
  <c r="D15" i="29"/>
  <c r="D18" s="1"/>
  <c r="D4"/>
  <c r="E19" l="1"/>
  <c r="E43" s="1"/>
  <c r="C43"/>
  <c r="C44" s="1"/>
  <c r="C55" s="1"/>
  <c r="S95" i="1" l="1"/>
  <c r="D7" i="24"/>
  <c r="C7"/>
  <c r="E31" i="29"/>
  <c r="E32" s="1"/>
  <c r="E34" s="1"/>
  <c r="E35" s="1"/>
  <c r="E37"/>
  <c r="Q96" i="1" s="1"/>
  <c r="E44" i="29"/>
  <c r="Q98" i="1" s="1"/>
  <c r="R93"/>
  <c r="D19" i="29"/>
  <c r="R95" i="1"/>
  <c r="Q103" l="1"/>
  <c r="F77" i="20" s="1"/>
  <c r="S96" i="1"/>
  <c r="C8" i="24"/>
  <c r="E55" i="29"/>
  <c r="D43"/>
  <c r="D44" s="1"/>
  <c r="D31"/>
  <c r="D32" s="1"/>
  <c r="D37" s="1"/>
  <c r="D35" s="1"/>
  <c r="R96" i="1" l="1"/>
  <c r="I57" i="29"/>
  <c r="J57"/>
  <c r="J56"/>
  <c r="I56"/>
  <c r="D55"/>
  <c r="P103" i="1"/>
  <c r="E77" i="20" s="1"/>
  <c r="AE103" i="1" l="1"/>
  <c r="AD103"/>
  <c r="AF103"/>
  <c r="Q122"/>
  <c r="AK153"/>
  <c r="AG153"/>
  <c r="AK152"/>
  <c r="AG152"/>
  <c r="AK151"/>
  <c r="AG151"/>
  <c r="AK150"/>
  <c r="AG150"/>
  <c r="AK148"/>
  <c r="AK141"/>
  <c r="AK142"/>
  <c r="AK143"/>
  <c r="AK144"/>
  <c r="AK145"/>
  <c r="AG142"/>
  <c r="AG144"/>
  <c r="AG145"/>
  <c r="AK140"/>
  <c r="AH135"/>
  <c r="AD135"/>
  <c r="AH131"/>
  <c r="AK125"/>
  <c r="AF134"/>
  <c r="AE134"/>
  <c r="AD134"/>
  <c r="AF129"/>
  <c r="AE129"/>
  <c r="AD129"/>
  <c r="AF124"/>
  <c r="AE124"/>
  <c r="AD124"/>
  <c r="AJ120"/>
  <c r="AI120"/>
  <c r="AI134" s="1"/>
  <c r="AH120"/>
  <c r="AH119"/>
  <c r="AI118"/>
  <c r="AH116"/>
  <c r="AH115"/>
  <c r="AH114"/>
  <c r="AH113"/>
  <c r="AH112"/>
  <c r="AH110"/>
  <c r="AH108"/>
  <c r="AD112"/>
  <c r="AI105"/>
  <c r="AI90"/>
  <c r="AJ90"/>
  <c r="AH90"/>
  <c r="AH75"/>
  <c r="AH73"/>
  <c r="AH72"/>
  <c r="AH70"/>
  <c r="AH69"/>
  <c r="AH68"/>
  <c r="AH65"/>
  <c r="AH64"/>
  <c r="AI63"/>
  <c r="AI62"/>
  <c r="AH61"/>
  <c r="AH59"/>
  <c r="AD65"/>
  <c r="AD64"/>
  <c r="AF63"/>
  <c r="AF62"/>
  <c r="AD61"/>
  <c r="AD59"/>
  <c r="AJ31"/>
  <c r="AH54"/>
  <c r="AH52"/>
  <c r="AD54"/>
  <c r="AD52"/>
  <c r="AJ57"/>
  <c r="AF57"/>
  <c r="AI50"/>
  <c r="AE50"/>
  <c r="AE42"/>
  <c r="AH47"/>
  <c r="AH46"/>
  <c r="AH45"/>
  <c r="AD46"/>
  <c r="AD47"/>
  <c r="AD45"/>
  <c r="AI36"/>
  <c r="AI38"/>
  <c r="AI39"/>
  <c r="AI40"/>
  <c r="AI41"/>
  <c r="AI42"/>
  <c r="AE36"/>
  <c r="AE38"/>
  <c r="AE39"/>
  <c r="AE40"/>
  <c r="AE41"/>
  <c r="AE34"/>
  <c r="AI34"/>
  <c r="AH3"/>
  <c r="AD3"/>
  <c r="C69" i="20"/>
  <c r="E69"/>
  <c r="F69"/>
  <c r="J69"/>
  <c r="K69"/>
  <c r="V76" i="1"/>
  <c r="U76"/>
  <c r="Q76"/>
  <c r="P76"/>
  <c r="W74"/>
  <c r="S74"/>
  <c r="R74"/>
  <c r="C12" i="24"/>
  <c r="R110" i="1"/>
  <c r="W115"/>
  <c r="W110"/>
  <c r="G43" i="22"/>
  <c r="E43"/>
  <c r="E45" s="1"/>
  <c r="E48" s="1"/>
  <c r="E35"/>
  <c r="E36"/>
  <c r="E19"/>
  <c r="E6"/>
  <c r="E14" s="1"/>
  <c r="E16" s="1"/>
  <c r="C99" i="20"/>
  <c r="E99"/>
  <c r="F99"/>
  <c r="H99" s="1"/>
  <c r="J99"/>
  <c r="K99"/>
  <c r="L99" s="1"/>
  <c r="P122" i="1"/>
  <c r="G58" i="21"/>
  <c r="AG122" i="1" l="1"/>
  <c r="AF122"/>
  <c r="AE122"/>
  <c r="AD122"/>
  <c r="AH130"/>
  <c r="AJ132"/>
  <c r="H69" i="20"/>
  <c r="L69"/>
  <c r="G69"/>
  <c r="G99"/>
  <c r="AH129" i="1"/>
  <c r="R98"/>
  <c r="R103" s="1"/>
  <c r="S98"/>
  <c r="AI132"/>
  <c r="AI122"/>
  <c r="AI129"/>
  <c r="AH122"/>
  <c r="AH134"/>
  <c r="AH132"/>
  <c r="E51" i="22"/>
  <c r="E52" s="1"/>
  <c r="AJ124" i="1"/>
  <c r="AJ130"/>
  <c r="AI133"/>
  <c r="AJ133"/>
  <c r="AI124"/>
  <c r="AI130"/>
  <c r="AH133"/>
  <c r="AJ134"/>
  <c r="AJ122"/>
  <c r="AH124"/>
  <c r="AJ129"/>
  <c r="AD110"/>
  <c r="S110"/>
  <c r="E21" i="22"/>
  <c r="E27" s="1"/>
  <c r="E20"/>
  <c r="E28" s="1"/>
  <c r="E54"/>
  <c r="E56" s="1"/>
  <c r="E59" s="1"/>
  <c r="P131" i="1" s="1"/>
  <c r="AD131" s="1"/>
  <c r="E31" i="22"/>
  <c r="E33" s="1"/>
  <c r="E38" s="1"/>
  <c r="E41" s="1"/>
  <c r="G24" i="21"/>
  <c r="G26" s="1"/>
  <c r="G31" s="1"/>
  <c r="D24"/>
  <c r="W89" i="1"/>
  <c r="D59" i="21"/>
  <c r="E59"/>
  <c r="F59"/>
  <c r="G59"/>
  <c r="C59"/>
  <c r="H58"/>
  <c r="H59" s="1"/>
  <c r="H37"/>
  <c r="H16"/>
  <c r="H46"/>
  <c r="E4"/>
  <c r="E46"/>
  <c r="E22"/>
  <c r="E24" s="1"/>
  <c r="E26" s="1"/>
  <c r="E14"/>
  <c r="D48"/>
  <c r="D46"/>
  <c r="F46"/>
  <c r="G46"/>
  <c r="C46"/>
  <c r="Q115" i="1" l="1"/>
  <c r="S115" s="1"/>
  <c r="AD114"/>
  <c r="Q114"/>
  <c r="S103"/>
  <c r="AD115"/>
  <c r="E22" i="22"/>
  <c r="E29"/>
  <c r="Q113" i="1" s="1"/>
  <c r="R89"/>
  <c r="S89"/>
  <c r="E31" i="21"/>
  <c r="D31"/>
  <c r="D49" s="1"/>
  <c r="D6"/>
  <c r="D9"/>
  <c r="D14"/>
  <c r="C14"/>
  <c r="F14"/>
  <c r="F22"/>
  <c r="F24" s="1"/>
  <c r="F26" s="1"/>
  <c r="G36"/>
  <c r="C9"/>
  <c r="C22" s="1"/>
  <c r="C24" s="1"/>
  <c r="C26" s="1"/>
  <c r="B6"/>
  <c r="AE118" i="1"/>
  <c r="AG148"/>
  <c r="AG143"/>
  <c r="AG141"/>
  <c r="AG140"/>
  <c r="Q132"/>
  <c r="H132"/>
  <c r="M119"/>
  <c r="N119" s="1"/>
  <c r="O119" s="1"/>
  <c r="W159"/>
  <c r="S159"/>
  <c r="R159"/>
  <c r="L122"/>
  <c r="W124"/>
  <c r="S124"/>
  <c r="R124"/>
  <c r="R115" l="1"/>
  <c r="AD113"/>
  <c r="E61" i="22"/>
  <c r="P62" s="1"/>
  <c r="P63" s="1"/>
  <c r="D36" i="21"/>
  <c r="H18"/>
  <c r="H19" s="1"/>
  <c r="F31"/>
  <c r="F48"/>
  <c r="E36"/>
  <c r="E49"/>
  <c r="C31"/>
  <c r="C48"/>
  <c r="B7"/>
  <c r="S122" i="1"/>
  <c r="K102" i="20"/>
  <c r="J102"/>
  <c r="F102"/>
  <c r="E102"/>
  <c r="E62" i="22" l="1"/>
  <c r="E63" s="1"/>
  <c r="G102" i="20"/>
  <c r="L102"/>
  <c r="H47" i="21"/>
  <c r="H50" s="1"/>
  <c r="G4"/>
  <c r="G7" s="1"/>
  <c r="G11" s="1"/>
  <c r="I11" s="1"/>
  <c r="I12" s="1"/>
  <c r="C4"/>
  <c r="C7" s="1"/>
  <c r="D4"/>
  <c r="D7" s="1"/>
  <c r="D11" s="1"/>
  <c r="C36"/>
  <c r="C49"/>
  <c r="F36"/>
  <c r="F49"/>
  <c r="H102" i="20"/>
  <c r="R122" i="1"/>
  <c r="H51" i="21" l="1"/>
  <c r="H61" s="1"/>
  <c r="L11"/>
  <c r="I16"/>
  <c r="D16"/>
  <c r="D18" s="1"/>
  <c r="D19" s="1"/>
  <c r="G16"/>
  <c r="C11"/>
  <c r="C16" s="1"/>
  <c r="F11"/>
  <c r="F16" s="1"/>
  <c r="P4" l="1"/>
  <c r="M4"/>
  <c r="M7" s="1"/>
  <c r="M11" s="1"/>
  <c r="N4"/>
  <c r="N7" s="1"/>
  <c r="O4"/>
  <c r="O7" s="1"/>
  <c r="O11" s="1"/>
  <c r="I18"/>
  <c r="L16"/>
  <c r="D34"/>
  <c r="D35" s="1"/>
  <c r="D47"/>
  <c r="D50" s="1"/>
  <c r="D51" s="1"/>
  <c r="G18"/>
  <c r="C18"/>
  <c r="C19" s="1"/>
  <c r="F18"/>
  <c r="F19" s="1"/>
  <c r="W132" i="1"/>
  <c r="P7" i="21" l="1"/>
  <c r="P11" s="1"/>
  <c r="P16" s="1"/>
  <c r="P18" s="1"/>
  <c r="P19" s="1"/>
  <c r="M12"/>
  <c r="M16"/>
  <c r="M18" s="1"/>
  <c r="M19" s="1"/>
  <c r="O16"/>
  <c r="O18" s="1"/>
  <c r="O19" s="1"/>
  <c r="L12"/>
  <c r="L18"/>
  <c r="L19" s="1"/>
  <c r="I19"/>
  <c r="I40" s="1"/>
  <c r="G19"/>
  <c r="G47" s="1"/>
  <c r="G50" s="1"/>
  <c r="G51" s="1"/>
  <c r="D37"/>
  <c r="D38" s="1"/>
  <c r="D39" s="1"/>
  <c r="F34"/>
  <c r="F35" s="1"/>
  <c r="F37" s="1"/>
  <c r="F47"/>
  <c r="F50" s="1"/>
  <c r="F51" s="1"/>
  <c r="C34"/>
  <c r="C35" s="1"/>
  <c r="C37" s="1"/>
  <c r="C47"/>
  <c r="C50" s="1"/>
  <c r="C51" s="1"/>
  <c r="F61" l="1"/>
  <c r="F65" s="1"/>
  <c r="D61"/>
  <c r="D65" s="1"/>
  <c r="G77" i="20"/>
  <c r="P12" i="21"/>
  <c r="O34"/>
  <c r="O35" s="1"/>
  <c r="O37" s="1"/>
  <c r="O38" s="1"/>
  <c r="O47"/>
  <c r="O50" s="1"/>
  <c r="O51" s="1"/>
  <c r="O40"/>
  <c r="P34"/>
  <c r="P35" s="1"/>
  <c r="P37" s="1"/>
  <c r="P38" s="1"/>
  <c r="P40"/>
  <c r="P47"/>
  <c r="P50" s="1"/>
  <c r="P51" s="1"/>
  <c r="M47"/>
  <c r="M50" s="1"/>
  <c r="M51" s="1"/>
  <c r="M34"/>
  <c r="M35" s="1"/>
  <c r="M37" s="1"/>
  <c r="M38" s="1"/>
  <c r="M40"/>
  <c r="L47"/>
  <c r="L50" s="1"/>
  <c r="L51" s="1"/>
  <c r="L34"/>
  <c r="L35" s="1"/>
  <c r="L37" s="1"/>
  <c r="L38" s="1"/>
  <c r="L40"/>
  <c r="I34"/>
  <c r="I35" s="1"/>
  <c r="I37" s="1"/>
  <c r="I47"/>
  <c r="I50" s="1"/>
  <c r="I51" s="1"/>
  <c r="C61"/>
  <c r="C65" s="1"/>
  <c r="G34"/>
  <c r="C38"/>
  <c r="C39" s="1"/>
  <c r="F38"/>
  <c r="F39" s="1"/>
  <c r="W162" i="1"/>
  <c r="S162"/>
  <c r="W85"/>
  <c r="S86"/>
  <c r="W84"/>
  <c r="S84"/>
  <c r="R84"/>
  <c r="L61" i="21" l="1"/>
  <c r="H77" i="20"/>
  <c r="M61" i="21"/>
  <c r="P61"/>
  <c r="O61"/>
  <c r="I38"/>
  <c r="I61"/>
  <c r="G35"/>
  <c r="G37" s="1"/>
  <c r="G40" s="1"/>
  <c r="W86" i="1"/>
  <c r="R162"/>
  <c r="R86"/>
  <c r="M62" i="21" l="1"/>
  <c r="M63" s="1"/>
  <c r="P62"/>
  <c r="P63" s="1"/>
  <c r="G61"/>
  <c r="G38"/>
  <c r="L127" i="1"/>
  <c r="X127" s="1"/>
  <c r="L126"/>
  <c r="L125"/>
  <c r="L132"/>
  <c r="H125"/>
  <c r="F125" s="1"/>
  <c r="L105"/>
  <c r="F105"/>
  <c r="X105" s="1"/>
  <c r="C11" i="24" l="1"/>
  <c r="I62" i="21"/>
  <c r="I63" s="1"/>
  <c r="X126" i="1"/>
  <c r="C13" i="24"/>
  <c r="AE105" i="1"/>
  <c r="M76"/>
  <c r="I76"/>
  <c r="E76"/>
  <c r="X4"/>
  <c r="U2"/>
  <c r="R3"/>
  <c r="Q3"/>
  <c r="H4" i="36" s="1"/>
  <c r="P3" i="1"/>
  <c r="H16" i="36" l="1"/>
  <c r="H34"/>
  <c r="G4"/>
  <c r="F4"/>
  <c r="AG125" i="1"/>
  <c r="G82"/>
  <c r="W114"/>
  <c r="S114"/>
  <c r="G34" i="36" l="1"/>
  <c r="G16"/>
  <c r="F34"/>
  <c r="F16"/>
  <c r="AF132" i="1"/>
  <c r="AE132"/>
  <c r="AD132"/>
  <c r="R114"/>
  <c r="S132" l="1"/>
  <c r="R132"/>
  <c r="C9" i="20"/>
  <c r="C10"/>
  <c r="C11"/>
  <c r="C12"/>
  <c r="C8"/>
  <c r="C16"/>
  <c r="C17"/>
  <c r="C15"/>
  <c r="C35"/>
  <c r="C36"/>
  <c r="C37"/>
  <c r="C38"/>
  <c r="C39"/>
  <c r="C40"/>
  <c r="C34"/>
  <c r="C44"/>
  <c r="C45"/>
  <c r="C43"/>
  <c r="C51"/>
  <c r="C50"/>
  <c r="C57"/>
  <c r="C58"/>
  <c r="C59"/>
  <c r="C60"/>
  <c r="C61"/>
  <c r="C56"/>
  <c r="C65"/>
  <c r="C66"/>
  <c r="C67"/>
  <c r="C68"/>
  <c r="C64"/>
  <c r="C82"/>
  <c r="C83"/>
  <c r="C84"/>
  <c r="C85"/>
  <c r="C86"/>
  <c r="C81"/>
  <c r="C90"/>
  <c r="C91"/>
  <c r="C92"/>
  <c r="C93"/>
  <c r="C94"/>
  <c r="C89"/>
  <c r="C100"/>
  <c r="C101"/>
  <c r="C103"/>
  <c r="C98"/>
  <c r="P119" i="1"/>
  <c r="AD119" s="1"/>
  <c r="AD116"/>
  <c r="AD108"/>
  <c r="G83" l="1"/>
  <c r="G84" s="1"/>
  <c r="W158"/>
  <c r="Q164" l="1"/>
  <c r="K98" i="20" l="1"/>
  <c r="J98"/>
  <c r="F98"/>
  <c r="S158" i="1"/>
  <c r="E98" i="20" l="1"/>
  <c r="G98" s="1"/>
  <c r="R158" i="1"/>
  <c r="Q146" l="1"/>
  <c r="Q155"/>
  <c r="Q120"/>
  <c r="Q133" s="1"/>
  <c r="Q106"/>
  <c r="Q66"/>
  <c r="Q55"/>
  <c r="Q48"/>
  <c r="Q156" l="1"/>
  <c r="D11" i="35" s="1"/>
  <c r="J3" i="20"/>
  <c r="Q136" i="1" l="1"/>
  <c r="K10" i="20"/>
  <c r="K11"/>
  <c r="J10"/>
  <c r="J11"/>
  <c r="E60"/>
  <c r="F60"/>
  <c r="J60"/>
  <c r="K60"/>
  <c r="G60" l="1"/>
  <c r="H60"/>
  <c r="L60"/>
  <c r="W64" i="1"/>
  <c r="S64"/>
  <c r="R64" l="1"/>
  <c r="E39" i="20" l="1"/>
  <c r="F39"/>
  <c r="J39"/>
  <c r="K39"/>
  <c r="G39" l="1"/>
  <c r="L39"/>
  <c r="H39"/>
  <c r="R163" i="1"/>
  <c r="R161"/>
  <c r="R160"/>
  <c r="R154"/>
  <c r="R153"/>
  <c r="R152"/>
  <c r="R151"/>
  <c r="R150"/>
  <c r="R148"/>
  <c r="R145"/>
  <c r="R144"/>
  <c r="R143"/>
  <c r="R142"/>
  <c r="R141"/>
  <c r="R140"/>
  <c r="R135"/>
  <c r="R131"/>
  <c r="R129"/>
  <c r="R119"/>
  <c r="R118"/>
  <c r="R112"/>
  <c r="R108"/>
  <c r="R105"/>
  <c r="R90"/>
  <c r="R88"/>
  <c r="R82"/>
  <c r="R70"/>
  <c r="R69"/>
  <c r="R68"/>
  <c r="R63"/>
  <c r="R62"/>
  <c r="R57"/>
  <c r="R54"/>
  <c r="R52"/>
  <c r="R50"/>
  <c r="R46"/>
  <c r="R45"/>
  <c r="R41"/>
  <c r="R40"/>
  <c r="R39"/>
  <c r="R38"/>
  <c r="R36"/>
  <c r="R146" l="1"/>
  <c r="R155"/>
  <c r="R55"/>
  <c r="R164"/>
  <c r="R156" l="1"/>
  <c r="S41" l="1"/>
  <c r="W41"/>
  <c r="F4" i="20" l="1"/>
  <c r="E4"/>
  <c r="K4"/>
  <c r="J4"/>
  <c r="W50" i="1"/>
  <c r="S50"/>
  <c r="K48" i="20"/>
  <c r="J48"/>
  <c r="F48"/>
  <c r="E48"/>
  <c r="G48" l="1"/>
  <c r="H48"/>
  <c r="L48"/>
  <c r="K103" l="1"/>
  <c r="K100"/>
  <c r="K94"/>
  <c r="K93"/>
  <c r="K92"/>
  <c r="K91"/>
  <c r="K90"/>
  <c r="K89"/>
  <c r="K86"/>
  <c r="K85"/>
  <c r="K84"/>
  <c r="K83"/>
  <c r="K82"/>
  <c r="K81"/>
  <c r="K68"/>
  <c r="K67"/>
  <c r="K66"/>
  <c r="K65"/>
  <c r="K64"/>
  <c r="K61"/>
  <c r="K59"/>
  <c r="K58"/>
  <c r="K54"/>
  <c r="K51"/>
  <c r="K50"/>
  <c r="K45"/>
  <c r="K44"/>
  <c r="K43"/>
  <c r="K40"/>
  <c r="K38"/>
  <c r="K36"/>
  <c r="K35"/>
  <c r="K34"/>
  <c r="K15"/>
  <c r="K12"/>
  <c r="K9"/>
  <c r="K8"/>
  <c r="J101"/>
  <c r="J100"/>
  <c r="J94"/>
  <c r="J93"/>
  <c r="J92"/>
  <c r="J91"/>
  <c r="J90"/>
  <c r="J89"/>
  <c r="J86"/>
  <c r="J85"/>
  <c r="J84"/>
  <c r="J83"/>
  <c r="J82"/>
  <c r="J81"/>
  <c r="J68"/>
  <c r="J67"/>
  <c r="J66"/>
  <c r="J65"/>
  <c r="J64"/>
  <c r="J61"/>
  <c r="J59"/>
  <c r="J58"/>
  <c r="J54"/>
  <c r="J51"/>
  <c r="J50"/>
  <c r="J45"/>
  <c r="J44"/>
  <c r="J43"/>
  <c r="J40"/>
  <c r="J38"/>
  <c r="J37"/>
  <c r="J36"/>
  <c r="J35"/>
  <c r="J34"/>
  <c r="J17"/>
  <c r="J16"/>
  <c r="J15"/>
  <c r="J12"/>
  <c r="J9"/>
  <c r="J8"/>
  <c r="W88" i="1"/>
  <c r="S88"/>
  <c r="J70" i="20" l="1"/>
  <c r="K70"/>
  <c r="K52"/>
  <c r="J87"/>
  <c r="J41"/>
  <c r="J13"/>
  <c r="J46"/>
  <c r="K87"/>
  <c r="K95"/>
  <c r="J52"/>
  <c r="J95"/>
  <c r="K13"/>
  <c r="K46"/>
  <c r="J96" l="1"/>
  <c r="K96"/>
  <c r="R72" i="1"/>
  <c r="R73"/>
  <c r="R60"/>
  <c r="R65"/>
  <c r="R59"/>
  <c r="R47"/>
  <c r="R42"/>
  <c r="W83"/>
  <c r="R76" l="1"/>
  <c r="R48"/>
  <c r="R66"/>
  <c r="F35" i="20"/>
  <c r="F36"/>
  <c r="F37"/>
  <c r="F38"/>
  <c r="F40"/>
  <c r="F43"/>
  <c r="F44"/>
  <c r="F45"/>
  <c r="F50"/>
  <c r="F51"/>
  <c r="F54"/>
  <c r="F56"/>
  <c r="F57"/>
  <c r="F58"/>
  <c r="F59"/>
  <c r="F61"/>
  <c r="F64"/>
  <c r="F65"/>
  <c r="F66"/>
  <c r="F67"/>
  <c r="F68"/>
  <c r="F81"/>
  <c r="F82"/>
  <c r="F83"/>
  <c r="F84"/>
  <c r="F85"/>
  <c r="F86"/>
  <c r="F89"/>
  <c r="F90"/>
  <c r="F91"/>
  <c r="F92"/>
  <c r="F93"/>
  <c r="F94"/>
  <c r="F100"/>
  <c r="F101"/>
  <c r="F103"/>
  <c r="F15"/>
  <c r="P130" i="1"/>
  <c r="AD130" l="1"/>
  <c r="AE130"/>
  <c r="AF130"/>
  <c r="F70" i="20"/>
  <c r="R130" i="1"/>
  <c r="F46" i="20"/>
  <c r="F104"/>
  <c r="F62"/>
  <c r="F52"/>
  <c r="F87"/>
  <c r="F95"/>
  <c r="F96" l="1"/>
  <c r="E103" l="1"/>
  <c r="H103" s="1"/>
  <c r="E101"/>
  <c r="E100"/>
  <c r="G100" s="1"/>
  <c r="E93"/>
  <c r="G93" s="1"/>
  <c r="E92"/>
  <c r="G92" s="1"/>
  <c r="E91"/>
  <c r="G91" s="1"/>
  <c r="E90"/>
  <c r="G90" s="1"/>
  <c r="E89"/>
  <c r="G89" s="1"/>
  <c r="E82"/>
  <c r="G82" s="1"/>
  <c r="E83"/>
  <c r="G83" s="1"/>
  <c r="E84"/>
  <c r="E85"/>
  <c r="G85" s="1"/>
  <c r="E86"/>
  <c r="G86" s="1"/>
  <c r="E81"/>
  <c r="G81" s="1"/>
  <c r="E68"/>
  <c r="G68" s="1"/>
  <c r="E67"/>
  <c r="G67" s="1"/>
  <c r="E66"/>
  <c r="G66" s="1"/>
  <c r="E65"/>
  <c r="G65" s="1"/>
  <c r="E64"/>
  <c r="G64" s="1"/>
  <c r="E61"/>
  <c r="G61" s="1"/>
  <c r="E59"/>
  <c r="G59" s="1"/>
  <c r="E57"/>
  <c r="G57" s="1"/>
  <c r="E56"/>
  <c r="G56" s="1"/>
  <c r="E54"/>
  <c r="G54" s="1"/>
  <c r="E51"/>
  <c r="G51" s="1"/>
  <c r="E50"/>
  <c r="G50" s="1"/>
  <c r="E45"/>
  <c r="G45" s="1"/>
  <c r="E44"/>
  <c r="G44" s="1"/>
  <c r="E43"/>
  <c r="G43" s="1"/>
  <c r="E35"/>
  <c r="G35" s="1"/>
  <c r="E36"/>
  <c r="G36" s="1"/>
  <c r="E37"/>
  <c r="G37" s="1"/>
  <c r="E38"/>
  <c r="G38" s="1"/>
  <c r="E40"/>
  <c r="G40" s="1"/>
  <c r="L94"/>
  <c r="L11"/>
  <c r="G46" l="1"/>
  <c r="H84"/>
  <c r="G84"/>
  <c r="G87" s="1"/>
  <c r="G52"/>
  <c r="G70"/>
  <c r="G95"/>
  <c r="H101"/>
  <c r="G101"/>
  <c r="G104" s="1"/>
  <c r="E70"/>
  <c r="E52"/>
  <c r="H45"/>
  <c r="H57"/>
  <c r="L12"/>
  <c r="H92"/>
  <c r="H82"/>
  <c r="H43"/>
  <c r="H44"/>
  <c r="H61"/>
  <c r="H100"/>
  <c r="E87"/>
  <c r="E104"/>
  <c r="H90"/>
  <c r="H83"/>
  <c r="H86"/>
  <c r="H91"/>
  <c r="H89"/>
  <c r="H93"/>
  <c r="H85"/>
  <c r="H35"/>
  <c r="H40"/>
  <c r="H67"/>
  <c r="H54"/>
  <c r="H36"/>
  <c r="H59"/>
  <c r="H68"/>
  <c r="L36"/>
  <c r="H51"/>
  <c r="H65"/>
  <c r="E46"/>
  <c r="H66"/>
  <c r="H38"/>
  <c r="H37"/>
  <c r="L9"/>
  <c r="H98"/>
  <c r="H50"/>
  <c r="L86"/>
  <c r="L38"/>
  <c r="H56"/>
  <c r="H81"/>
  <c r="H64"/>
  <c r="E58"/>
  <c r="H58" l="1"/>
  <c r="G58"/>
  <c r="G62" s="1"/>
  <c r="G96"/>
  <c r="H52"/>
  <c r="H104"/>
  <c r="E62"/>
  <c r="H70"/>
  <c r="H46"/>
  <c r="H87"/>
  <c r="H62" l="1"/>
  <c r="E94" l="1"/>
  <c r="E95" l="1"/>
  <c r="E96" s="1"/>
  <c r="H96" s="1"/>
  <c r="H94"/>
  <c r="W131" i="1"/>
  <c r="S131"/>
  <c r="H95" i="20" l="1"/>
  <c r="E15" l="1"/>
  <c r="R15" i="1"/>
  <c r="H15" i="20" l="1"/>
  <c r="G15"/>
  <c r="R125" i="1"/>
  <c r="R116" l="1"/>
  <c r="R113"/>
  <c r="R120" l="1"/>
  <c r="R106"/>
  <c r="L10" i="20" l="1"/>
  <c r="L58"/>
  <c r="L31"/>
  <c r="K56"/>
  <c r="K57"/>
  <c r="K101"/>
  <c r="J56"/>
  <c r="J57"/>
  <c r="J18"/>
  <c r="J19" s="1"/>
  <c r="J103"/>
  <c r="L103" s="1"/>
  <c r="J109" l="1"/>
  <c r="L57"/>
  <c r="J104"/>
  <c r="J62"/>
  <c r="J71" s="1"/>
  <c r="K62"/>
  <c r="L56"/>
  <c r="K104"/>
  <c r="L98"/>
  <c r="L8"/>
  <c r="L13"/>
  <c r="L100" l="1"/>
  <c r="L104"/>
  <c r="L90"/>
  <c r="L84"/>
  <c r="L89" l="1"/>
  <c r="L15"/>
  <c r="L61"/>
  <c r="L85"/>
  <c r="L91"/>
  <c r="L45"/>
  <c r="L54"/>
  <c r="L35"/>
  <c r="L93"/>
  <c r="L92"/>
  <c r="L83"/>
  <c r="L82"/>
  <c r="L40"/>
  <c r="L68"/>
  <c r="L67"/>
  <c r="L66"/>
  <c r="L65"/>
  <c r="L51"/>
  <c r="L44"/>
  <c r="L95" l="1"/>
  <c r="L81"/>
  <c r="L70"/>
  <c r="L64"/>
  <c r="L59"/>
  <c r="L62"/>
  <c r="L52"/>
  <c r="L50"/>
  <c r="L43"/>
  <c r="L34"/>
  <c r="K37"/>
  <c r="K17"/>
  <c r="L17" s="1"/>
  <c r="K16"/>
  <c r="L16" s="1"/>
  <c r="L75" l="1"/>
  <c r="K41"/>
  <c r="K71" s="1"/>
  <c r="L37"/>
  <c r="K18"/>
  <c r="K19" s="1"/>
  <c r="L96"/>
  <c r="L87"/>
  <c r="K109" l="1"/>
  <c r="L19"/>
  <c r="L41"/>
  <c r="L18"/>
  <c r="L109" l="1"/>
  <c r="L46"/>
  <c r="L71"/>
  <c r="V55" i="1" l="1"/>
  <c r="U55"/>
  <c r="P55"/>
  <c r="W54"/>
  <c r="S54"/>
  <c r="W52"/>
  <c r="S52"/>
  <c r="W55" l="1"/>
  <c r="S55"/>
  <c r="S163" l="1"/>
  <c r="S161"/>
  <c r="S160"/>
  <c r="S154"/>
  <c r="S153"/>
  <c r="S152"/>
  <c r="S151"/>
  <c r="S150"/>
  <c r="S148"/>
  <c r="S145"/>
  <c r="S144"/>
  <c r="S143"/>
  <c r="S142"/>
  <c r="S141"/>
  <c r="S140"/>
  <c r="S135"/>
  <c r="S130"/>
  <c r="S129"/>
  <c r="S125"/>
  <c r="S119"/>
  <c r="S113"/>
  <c r="S112"/>
  <c r="S108"/>
  <c r="S105"/>
  <c r="S90"/>
  <c r="S82"/>
  <c r="S73"/>
  <c r="S72"/>
  <c r="S70"/>
  <c r="S69"/>
  <c r="S68"/>
  <c r="S65"/>
  <c r="S63"/>
  <c r="S62"/>
  <c r="S60"/>
  <c r="S59"/>
  <c r="S57"/>
  <c r="S47"/>
  <c r="S46"/>
  <c r="S45"/>
  <c r="S42"/>
  <c r="S40"/>
  <c r="S39"/>
  <c r="S38"/>
  <c r="S36"/>
  <c r="S15"/>
  <c r="W7"/>
  <c r="W163"/>
  <c r="W160"/>
  <c r="W154"/>
  <c r="W153"/>
  <c r="W152"/>
  <c r="W151"/>
  <c r="W150"/>
  <c r="W148"/>
  <c r="W145"/>
  <c r="W144"/>
  <c r="W143"/>
  <c r="W142"/>
  <c r="W141"/>
  <c r="W140"/>
  <c r="W135"/>
  <c r="W134"/>
  <c r="W133"/>
  <c r="W130"/>
  <c r="W129"/>
  <c r="W125"/>
  <c r="W119"/>
  <c r="W113"/>
  <c r="W112"/>
  <c r="W108"/>
  <c r="W105"/>
  <c r="W90"/>
  <c r="W87"/>
  <c r="W82"/>
  <c r="W73"/>
  <c r="W72"/>
  <c r="W70"/>
  <c r="W69"/>
  <c r="W68"/>
  <c r="W65"/>
  <c r="W63"/>
  <c r="W62"/>
  <c r="W60"/>
  <c r="W59"/>
  <c r="W57"/>
  <c r="W47"/>
  <c r="W46"/>
  <c r="W45"/>
  <c r="W42"/>
  <c r="W40"/>
  <c r="W39"/>
  <c r="W38"/>
  <c r="W36"/>
  <c r="W34"/>
  <c r="W31"/>
  <c r="W17"/>
  <c r="W16"/>
  <c r="W15"/>
  <c r="W12"/>
  <c r="W11"/>
  <c r="W10"/>
  <c r="W9"/>
  <c r="V13"/>
  <c r="V18"/>
  <c r="V43"/>
  <c r="V48"/>
  <c r="V66"/>
  <c r="V106"/>
  <c r="V136"/>
  <c r="V146"/>
  <c r="V155"/>
  <c r="V164"/>
  <c r="U164"/>
  <c r="U155"/>
  <c r="U146"/>
  <c r="U136"/>
  <c r="U120"/>
  <c r="J74" i="20" s="1"/>
  <c r="J78" s="1"/>
  <c r="U106" i="1"/>
  <c r="U91"/>
  <c r="U66"/>
  <c r="U48"/>
  <c r="U43"/>
  <c r="U18"/>
  <c r="U13"/>
  <c r="P164"/>
  <c r="P155"/>
  <c r="P146"/>
  <c r="P106"/>
  <c r="P66"/>
  <c r="P48"/>
  <c r="U137" l="1"/>
  <c r="C10" i="35" s="1"/>
  <c r="J106" i="20"/>
  <c r="J107" s="1"/>
  <c r="AI91" i="1"/>
  <c r="AI166" s="1"/>
  <c r="AH91"/>
  <c r="AH166" s="1"/>
  <c r="AJ91"/>
  <c r="AJ166" s="1"/>
  <c r="V77"/>
  <c r="U77"/>
  <c r="C9" i="35" s="1"/>
  <c r="S66" i="1"/>
  <c r="S106"/>
  <c r="U19"/>
  <c r="C5" i="35" s="1"/>
  <c r="S164" i="1"/>
  <c r="S155"/>
  <c r="W106"/>
  <c r="W66"/>
  <c r="W18"/>
  <c r="S48"/>
  <c r="W48"/>
  <c r="W136"/>
  <c r="W13"/>
  <c r="S146"/>
  <c r="W146"/>
  <c r="W155"/>
  <c r="W76"/>
  <c r="W43"/>
  <c r="V156"/>
  <c r="V19"/>
  <c r="V169" s="1"/>
  <c r="U156"/>
  <c r="C11" i="35" s="1"/>
  <c r="P156" i="1"/>
  <c r="B11" i="35" s="1"/>
  <c r="C12" l="1"/>
  <c r="U169" i="1"/>
  <c r="W169" s="1"/>
  <c r="W19"/>
  <c r="S156"/>
  <c r="W77"/>
  <c r="W156"/>
  <c r="C14" i="35" l="1"/>
  <c r="C23" s="1"/>
  <c r="J110" i="20"/>
  <c r="J111" s="1"/>
  <c r="F5" i="34" s="1"/>
  <c r="F7" s="1"/>
  <c r="F12" s="1"/>
  <c r="F14" l="1"/>
  <c r="J12"/>
  <c r="V91" i="1" l="1"/>
  <c r="W80"/>
  <c r="AK91" l="1"/>
  <c r="AK166" s="1"/>
  <c r="W91"/>
  <c r="S118" l="1"/>
  <c r="S116"/>
  <c r="P120"/>
  <c r="P133" s="1"/>
  <c r="S120" l="1"/>
  <c r="AE133" l="1"/>
  <c r="AF133"/>
  <c r="AD133"/>
  <c r="W118"/>
  <c r="R134" l="1"/>
  <c r="S134"/>
  <c r="V120"/>
  <c r="V137" s="1"/>
  <c r="W116"/>
  <c r="L77" i="20" l="1"/>
  <c r="K74"/>
  <c r="K78" s="1"/>
  <c r="W120" i="1"/>
  <c r="L74" i="20" l="1"/>
  <c r="L78"/>
  <c r="K106" l="1"/>
  <c r="E9"/>
  <c r="E10"/>
  <c r="E11"/>
  <c r="E12"/>
  <c r="L106" l="1"/>
  <c r="K107"/>
  <c r="L107" s="1"/>
  <c r="K110"/>
  <c r="K111" s="1"/>
  <c r="L110" l="1"/>
  <c r="S11" i="1"/>
  <c r="F11" i="20"/>
  <c r="R11" i="1"/>
  <c r="S12"/>
  <c r="R12"/>
  <c r="F12" i="20"/>
  <c r="S9" i="1"/>
  <c r="F9" i="20"/>
  <c r="R9" i="1"/>
  <c r="S10"/>
  <c r="F10" i="20"/>
  <c r="R10" i="1"/>
  <c r="H9" i="20" l="1"/>
  <c r="G9"/>
  <c r="H12"/>
  <c r="G12"/>
  <c r="H11"/>
  <c r="G11"/>
  <c r="H10"/>
  <c r="G10"/>
  <c r="P43" i="1"/>
  <c r="E34" i="20"/>
  <c r="S34" i="1"/>
  <c r="F34" i="20"/>
  <c r="F41" s="1"/>
  <c r="Q43" i="1"/>
  <c r="R34"/>
  <c r="R43" s="1"/>
  <c r="R77" s="1"/>
  <c r="E41" i="20" l="1"/>
  <c r="E71" s="1"/>
  <c r="G34"/>
  <c r="G41" s="1"/>
  <c r="G71" s="1"/>
  <c r="S43" i="1"/>
  <c r="Q77"/>
  <c r="H34" i="20"/>
  <c r="F71"/>
  <c r="D9" i="35" l="1"/>
  <c r="H41" i="20"/>
  <c r="H71"/>
  <c r="S133" i="1" l="1"/>
  <c r="R133"/>
  <c r="R136" s="1"/>
  <c r="P136"/>
  <c r="S136" l="1"/>
  <c r="U166" l="1"/>
  <c r="U170" l="1"/>
  <c r="U171" s="1"/>
  <c r="U167"/>
  <c r="V166" l="1"/>
  <c r="W166" s="1"/>
  <c r="W137"/>
  <c r="V170" l="1"/>
  <c r="W170" s="1"/>
  <c r="V167"/>
  <c r="V171" l="1"/>
  <c r="E6" i="21"/>
  <c r="E7" s="1"/>
  <c r="E11" s="1"/>
  <c r="E16" s="1"/>
  <c r="E18" l="1"/>
  <c r="E19" s="1"/>
  <c r="E34" l="1"/>
  <c r="E35" s="1"/>
  <c r="E37" s="1"/>
  <c r="E47"/>
  <c r="E50" s="1"/>
  <c r="E51" s="1"/>
  <c r="E38" l="1"/>
  <c r="E39" s="1"/>
  <c r="E61"/>
  <c r="E65" s="1"/>
  <c r="S76" i="1"/>
  <c r="P77"/>
  <c r="B9" i="35" l="1"/>
  <c r="S77" i="1"/>
  <c r="F8" i="20"/>
  <c r="E8"/>
  <c r="Q13" i="1"/>
  <c r="E13" i="20" l="1"/>
  <c r="G8"/>
  <c r="G13" s="1"/>
  <c r="H8"/>
  <c r="F13"/>
  <c r="P13" i="1"/>
  <c r="S7"/>
  <c r="R7"/>
  <c r="R13" s="1"/>
  <c r="H13" i="20" l="1"/>
  <c r="S13" i="1"/>
  <c r="S17"/>
  <c r="S16"/>
  <c r="F16" i="20"/>
  <c r="H16" s="1"/>
  <c r="F17"/>
  <c r="H17" s="1"/>
  <c r="E16"/>
  <c r="R17" i="1"/>
  <c r="E17" i="20"/>
  <c r="Q18" i="1"/>
  <c r="Q19" s="1"/>
  <c r="G16" i="20" l="1"/>
  <c r="D5" i="35"/>
  <c r="F18" i="20"/>
  <c r="F19" s="1"/>
  <c r="P18" i="1"/>
  <c r="P19" s="1"/>
  <c r="B5" i="35" s="1"/>
  <c r="Q169" i="1"/>
  <c r="R16"/>
  <c r="F109" i="20" l="1"/>
  <c r="H19"/>
  <c r="C31" i="1"/>
  <c r="C31" i="20" s="1"/>
  <c r="E18"/>
  <c r="E19" s="1"/>
  <c r="E109" s="1"/>
  <c r="G18"/>
  <c r="G19" s="1"/>
  <c r="G109" s="1"/>
  <c r="R18" i="1"/>
  <c r="R19" s="1"/>
  <c r="P169"/>
  <c r="S18"/>
  <c r="S19"/>
  <c r="H18" i="20" l="1"/>
  <c r="H109"/>
  <c r="R169" i="1"/>
  <c r="S169"/>
  <c r="G31" i="20" l="1"/>
  <c r="AF31" i="1"/>
  <c r="S31"/>
  <c r="H31" i="20" l="1"/>
  <c r="J11" i="34" l="1"/>
  <c r="J14" s="1"/>
  <c r="H14"/>
  <c r="N11" i="21"/>
  <c r="N12" s="1"/>
  <c r="N16" l="1"/>
  <c r="N18" l="1"/>
  <c r="N19" s="1"/>
  <c r="N34" l="1"/>
  <c r="N35" s="1"/>
  <c r="N37" s="1"/>
  <c r="N38" s="1"/>
  <c r="N47"/>
  <c r="N50" s="1"/>
  <c r="N51" s="1"/>
  <c r="N40"/>
  <c r="N61" l="1"/>
  <c r="N62" s="1"/>
  <c r="N63" s="1"/>
  <c r="K12"/>
  <c r="R12"/>
  <c r="K16"/>
  <c r="Q80" i="1" l="1"/>
  <c r="K18" i="21"/>
  <c r="Q83" i="1" s="1"/>
  <c r="F74" i="20" l="1"/>
  <c r="K19" i="21"/>
  <c r="K34" l="1"/>
  <c r="K35" s="1"/>
  <c r="K37" s="1"/>
  <c r="K40"/>
  <c r="K47"/>
  <c r="K50" s="1"/>
  <c r="K51" s="1"/>
  <c r="Q87" i="1" s="1"/>
  <c r="K61" i="21" l="1"/>
  <c r="L62" s="1"/>
  <c r="L63" s="1"/>
  <c r="Q85" i="1"/>
  <c r="K38" i="21"/>
  <c r="Q91" i="1" l="1"/>
  <c r="F75" i="20"/>
  <c r="K62" i="21"/>
  <c r="K63" s="1"/>
  <c r="R62"/>
  <c r="R63" s="1"/>
  <c r="Q137" i="1" l="1"/>
  <c r="F78" i="20"/>
  <c r="D10" i="35" l="1"/>
  <c r="D12" s="1"/>
  <c r="D14" s="1"/>
  <c r="D23" s="1"/>
  <c r="Q166" i="1"/>
  <c r="F106" i="20"/>
  <c r="F107" s="1"/>
  <c r="F110" l="1"/>
  <c r="H107"/>
  <c r="Q170" i="1"/>
  <c r="Q167"/>
  <c r="S167" s="1"/>
  <c r="F111" i="20" l="1"/>
  <c r="Q171" i="1"/>
  <c r="S7" i="21"/>
  <c r="S4" s="1"/>
  <c r="U7"/>
  <c r="U4" s="1"/>
  <c r="T7"/>
  <c r="T4" s="1"/>
  <c r="V11"/>
  <c r="V4" l="1"/>
  <c r="Q4" s="1"/>
  <c r="Q7" s="1"/>
  <c r="S11"/>
  <c r="S12" s="1"/>
  <c r="T11"/>
  <c r="T16" s="1"/>
  <c r="T18" s="1"/>
  <c r="U11"/>
  <c r="V16"/>
  <c r="V12"/>
  <c r="Q11" l="1"/>
  <c r="U12"/>
  <c r="U16"/>
  <c r="T12"/>
  <c r="T19"/>
  <c r="S16"/>
  <c r="S18" s="1"/>
  <c r="S19" s="1"/>
  <c r="V18"/>
  <c r="V19" s="1"/>
  <c r="W3" l="1"/>
  <c r="T34"/>
  <c r="T35" s="1"/>
  <c r="T37" s="1"/>
  <c r="T38" s="1"/>
  <c r="T47"/>
  <c r="T50" s="1"/>
  <c r="T51" s="1"/>
  <c r="T40"/>
  <c r="Q12"/>
  <c r="Q16"/>
  <c r="Q18" s="1"/>
  <c r="P83" i="1" s="1"/>
  <c r="U18" i="21"/>
  <c r="U19" s="1"/>
  <c r="S40"/>
  <c r="S34"/>
  <c r="S35" s="1"/>
  <c r="S37" s="1"/>
  <c r="S38" s="1"/>
  <c r="S47"/>
  <c r="S50" s="1"/>
  <c r="S51" s="1"/>
  <c r="V40"/>
  <c r="V34"/>
  <c r="V35" s="1"/>
  <c r="V37" s="1"/>
  <c r="V38" s="1"/>
  <c r="V47"/>
  <c r="V50" s="1"/>
  <c r="V51" s="1"/>
  <c r="V61" l="1"/>
  <c r="V62" s="1"/>
  <c r="V63" s="1"/>
  <c r="S61"/>
  <c r="T61"/>
  <c r="T62" s="1"/>
  <c r="T63" s="1"/>
  <c r="P80" i="1"/>
  <c r="U47" i="21"/>
  <c r="U50" s="1"/>
  <c r="U51" s="1"/>
  <c r="U40"/>
  <c r="U34"/>
  <c r="U35" s="1"/>
  <c r="U37" s="1"/>
  <c r="U38" s="1"/>
  <c r="Q19"/>
  <c r="S62"/>
  <c r="S63" s="1"/>
  <c r="R83" i="1"/>
  <c r="S83"/>
  <c r="U61" i="21" l="1"/>
  <c r="U62" s="1"/>
  <c r="U63" s="1"/>
  <c r="Q34"/>
  <c r="Q35" s="1"/>
  <c r="Q37" s="1"/>
  <c r="Q38" s="1"/>
  <c r="E74" i="20"/>
  <c r="G74" s="1"/>
  <c r="D5" i="24"/>
  <c r="Q47" i="21"/>
  <c r="Q50" s="1"/>
  <c r="Q51" s="1"/>
  <c r="P87" i="1" s="1"/>
  <c r="S87" s="1"/>
  <c r="C5" i="24"/>
  <c r="S80" i="1"/>
  <c r="R80"/>
  <c r="Q40" i="21"/>
  <c r="P85" i="1" s="1"/>
  <c r="Q61" i="21" l="1"/>
  <c r="Q62" s="1"/>
  <c r="Q63" s="1"/>
  <c r="R87" i="1"/>
  <c r="H74" i="20"/>
  <c r="S85" i="1"/>
  <c r="R85"/>
  <c r="C6" i="24"/>
  <c r="E75" i="20"/>
  <c r="P91" i="1"/>
  <c r="R91" l="1"/>
  <c r="R137" s="1"/>
  <c r="R166" s="1"/>
  <c r="R167" s="1"/>
  <c r="AG91"/>
  <c r="AG166" s="1"/>
  <c r="AE91"/>
  <c r="AE166" s="1"/>
  <c r="P137"/>
  <c r="S91"/>
  <c r="AD91"/>
  <c r="AD166" s="1"/>
  <c r="AF91"/>
  <c r="AF166" s="1"/>
  <c r="G75" i="20"/>
  <c r="H75"/>
  <c r="E78"/>
  <c r="H78" s="1"/>
  <c r="G78" l="1"/>
  <c r="G106" s="1"/>
  <c r="G107" s="1"/>
  <c r="E106"/>
  <c r="S137" i="1"/>
  <c r="P166"/>
  <c r="B10" i="35"/>
  <c r="B12" s="1"/>
  <c r="B14" s="1"/>
  <c r="B23" s="1"/>
  <c r="H106" i="20" l="1"/>
  <c r="E107"/>
  <c r="G110"/>
  <c r="G111" s="1"/>
  <c r="S166" i="1"/>
  <c r="P167"/>
  <c r="P170"/>
  <c r="E110" i="20"/>
  <c r="AD167" i="1"/>
  <c r="E111" i="20" l="1"/>
  <c r="H110"/>
  <c r="P171" i="1"/>
  <c r="S170"/>
  <c r="R170"/>
  <c r="H5" i="34" l="1"/>
  <c r="H7" s="1"/>
  <c r="S171" i="1"/>
  <c r="R171"/>
</calcChain>
</file>

<file path=xl/comments1.xml><?xml version="1.0" encoding="utf-8"?>
<comments xmlns="http://schemas.openxmlformats.org/spreadsheetml/2006/main">
  <authors>
    <author>Dawn Jacobson</author>
  </authors>
  <commentList>
    <comment ref="G82"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4.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sharedStrings.xml><?xml version="1.0" encoding="utf-8"?>
<sst xmlns="http://schemas.openxmlformats.org/spreadsheetml/2006/main" count="955" uniqueCount="603">
  <si>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</si>
  <si>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</si>
  <si>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</si>
  <si>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</si>
  <si>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</si>
  <si>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</si>
  <si>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</si>
  <si>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</si>
  <si>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</si>
  <si>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</si>
  <si>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</si>
  <si>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</si>
  <si>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</si>
  <si>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</si>
  <si>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</si>
  <si>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</si>
  <si>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</si>
  <si>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</si>
  <si>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</si>
  <si>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</si>
  <si>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</si>
  <si>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</si>
  <si>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</si>
  <si>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</si>
  <si>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</si>
  <si>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</si>
  <si>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</si>
  <si>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</si>
  <si>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</si>
  <si>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</si>
  <si>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</si>
  <si>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</si>
  <si>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</si>
  <si>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</si>
  <si>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</si>
  <si>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</si>
  <si>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</si>
  <si>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</si>
  <si>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</si>
  <si>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</si>
  <si>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</si>
  <si>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</si>
  <si>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</si>
  <si>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</si>
  <si>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</si>
  <si>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</si>
  <si>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</si>
  <si>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</si>
  <si>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</si>
  <si>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</si>
  <si>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</si>
  <si>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</si>
  <si>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</si>
  <si>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</si>
  <si>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</si>
  <si>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</si>
  <si>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</si>
  <si>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</si>
  <si>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</si>
  <si>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</si>
  <si>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</si>
  <si>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</si>
  <si>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</si>
  <si>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</si>
  <si>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</si>
  <si>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</si>
  <si>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</si>
  <si>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</si>
  <si>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</si>
  <si>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</si>
  <si>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</si>
  <si>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</si>
  <si>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</si>
  <si>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</si>
  <si>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</si>
  <si>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</si>
  <si>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</si>
  <si>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</si>
  <si>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</si>
  <si>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</si>
  <si>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</si>
  <si>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</si>
  <si>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</si>
  <si>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</si>
  <si>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</si>
  <si>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</si>
  <si>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</si>
  <si>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</si>
  <si>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</si>
  <si>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</si>
  <si>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</si>
  <si>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</si>
  <si>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</si>
  <si>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</si>
  <si>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</si>
  <si>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</si>
  <si>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</si>
  <si>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</si>
  <si>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</si>
  <si>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</si>
  <si>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</si>
  <si>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</si>
  <si>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</si>
  <si>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</si>
  <si>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</si>
  <si>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</si>
  <si>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</si>
  <si>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</si>
  <si>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</si>
  <si>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</si>
  <si>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</si>
  <si>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</si>
  <si>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</si>
  <si>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</si>
  <si>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</si>
  <si>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</si>
  <si>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</si>
  <si>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</si>
  <si>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</si>
  <si>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</si>
  <si>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</si>
  <si>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</si>
  <si>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</si>
  <si>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</si>
  <si>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</si>
  <si>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</si>
  <si>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</si>
  <si>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</si>
  <si>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</si>
  <si>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</si>
  <si>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</si>
  <si>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</si>
  <si>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</si>
  <si>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</si>
  <si>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</si>
  <si>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</si>
  <si>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</si>
  <si>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</si>
  <si>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</si>
  <si>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</si>
  <si>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</si>
  <si>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</si>
  <si>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</si>
  <si>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</si>
  <si>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</si>
  <si>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</si>
  <si>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</si>
  <si>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</si>
  <si>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</si>
  <si>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</si>
  <si>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</si>
  <si>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</si>
  <si>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</si>
  <si>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</si>
  <si>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</si>
  <si>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</si>
  <si>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</si>
  <si>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</si>
  <si>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</si>
  <si>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</si>
  <si>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</si>
  <si>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</si>
  <si>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</si>
  <si>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</si>
  <si>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</si>
  <si>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</si>
  <si>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</si>
  <si>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</si>
  <si>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</si>
  <si>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</si>
  <si>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</si>
  <si>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</si>
  <si>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</si>
  <si>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</si>
  <si>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</si>
  <si>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</si>
  <si>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</si>
  <si>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</si>
  <si>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</si>
  <si>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</si>
  <si>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</si>
  <si>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</si>
  <si>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</si>
  <si>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</si>
  <si>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</si>
  <si>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Annual Increase %</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</si>
  <si>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</si>
  <si>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</si>
  <si>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</si>
  <si>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</si>
  <si>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</si>
  <si>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</si>
  <si>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</si>
  <si>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</si>
  <si>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</si>
  <si>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</si>
  <si>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</si>
  <si>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</si>
  <si>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</si>
  <si>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</si>
  <si>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</si>
  <si>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</si>
  <si>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</si>
  <si>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</si>
  <si>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</si>
  <si>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</si>
  <si>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</si>
  <si>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</si>
  <si>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</si>
  <si>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</si>
  <si>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</si>
  <si>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</si>
  <si>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</si>
  <si>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</si>
  <si>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</si>
  <si>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</si>
  <si>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</si>
  <si>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</si>
  <si>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</si>
  <si>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</si>
  <si>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</si>
  <si>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</si>
  <si>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</si>
  <si>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</si>
  <si>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</si>
  <si>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</si>
  <si>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</si>
  <si>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</si>
  <si>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</si>
  <si>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</si>
  <si>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</si>
  <si>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</si>
  <si>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</si>
  <si>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</si>
  <si>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</si>
  <si>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</si>
  <si>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</si>
  <si>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</si>
  <si>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</si>
  <si>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</si>
  <si>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</si>
  <si>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</si>
  <si>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Dollars</t>
  </si>
  <si>
    <t>REVELATION BAND ESTIMATE:</t>
  </si>
  <si>
    <t>One day per week</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</si>
  <si>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</si>
  <si>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</si>
  <si>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</si>
  <si>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</si>
  <si>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</si>
  <si>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</si>
  <si>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</si>
  <si>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</si>
  <si>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</si>
  <si>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</si>
  <si>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</si>
  <si>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</si>
  <si>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</si>
  <si>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</si>
  <si>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</si>
  <si>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</si>
  <si>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</si>
  <si>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</si>
  <si>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</si>
  <si>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</si>
  <si>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</si>
  <si>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</si>
  <si>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</si>
  <si>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</si>
  <si>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</si>
  <si>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</si>
  <si>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</si>
  <si>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</si>
  <si>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</si>
  <si>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</si>
  <si>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</si>
  <si>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</si>
  <si>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</si>
  <si>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</si>
  <si>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</si>
  <si>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</si>
  <si>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</si>
  <si>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</si>
  <si>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Nov 29-Dec 24, 2020</t>
  </si>
  <si>
    <t>Feb 26-April 9, 2020</t>
  </si>
  <si>
    <t>Memorial Day (May 25) - Labor Day (Sept 7)</t>
  </si>
  <si>
    <t>Friday</t>
  </si>
  <si>
    <t>Christmas</t>
  </si>
  <si>
    <t>Added New for 2020 Budget</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</si>
  <si>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</si>
  <si>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</si>
  <si>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</si>
  <si>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</si>
  <si>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</si>
  <si>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</si>
  <si>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</si>
  <si>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</si>
  <si>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</si>
  <si>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</si>
  <si>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</si>
  <si>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</si>
  <si>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</si>
  <si>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</si>
  <si>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</si>
  <si>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</si>
  <si>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</si>
  <si>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</si>
  <si>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</si>
  <si>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</si>
  <si>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</si>
  <si>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</si>
  <si>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</si>
  <si>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</si>
  <si>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</si>
  <si>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</si>
  <si>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$200/for 2 services and $50 for an additional service</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</si>
  <si>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</si>
  <si>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</si>
  <si>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</si>
  <si>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</si>
  <si>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</si>
  <si>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</si>
  <si>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</si>
  <si>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</si>
  <si>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</si>
  <si>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</si>
  <si>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</si>
  <si>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</si>
  <si>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</si>
  <si>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</si>
  <si>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</si>
  <si>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</si>
  <si>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</si>
  <si>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</si>
  <si>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Volunteer Coordinator</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</si>
  <si>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</si>
  <si>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</si>
  <si>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</si>
  <si>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</si>
  <si>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</si>
  <si>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</si>
  <si>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</si>
  <si>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</si>
  <si>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</si>
  <si>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</si>
  <si>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</si>
  <si>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</si>
  <si>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</si>
  <si>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</si>
  <si>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</si>
  <si>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</si>
  <si>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</si>
  <si>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</si>
  <si>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</si>
  <si>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</si>
  <si>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</si>
  <si>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</si>
  <si>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</si>
  <si>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</si>
  <si>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</si>
  <si>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</si>
  <si>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</si>
  <si>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</si>
  <si>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</si>
  <si>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</si>
  <si>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</si>
  <si>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</si>
  <si>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</si>
  <si>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</si>
  <si>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</si>
  <si>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</si>
  <si>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</si>
  <si>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</si>
  <si>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</si>
  <si>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</si>
  <si>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</si>
  <si>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</si>
  <si>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</si>
  <si>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</si>
  <si>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</si>
  <si>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</si>
  <si>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</si>
  <si>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</si>
  <si>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</si>
  <si>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</si>
  <si>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</si>
  <si>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</si>
  <si>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</si>
  <si>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</si>
  <si>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</si>
  <si>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</si>
  <si>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</si>
  <si>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</si>
  <si>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</si>
  <si>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</si>
  <si>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</si>
  <si>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</si>
  <si>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</si>
  <si>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</si>
  <si>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</si>
  <si>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</si>
  <si>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</si>
  <si>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</si>
  <si>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</si>
  <si>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</si>
  <si>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</si>
  <si>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</si>
  <si>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</si>
  <si>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</si>
  <si>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</si>
  <si>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</si>
  <si>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</si>
  <si>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</si>
  <si>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</si>
  <si>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</si>
  <si>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</si>
  <si>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</si>
  <si>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</si>
  <si>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</si>
  <si>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</si>
  <si>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</si>
  <si>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</si>
  <si>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</si>
  <si>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</si>
  <si>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</si>
  <si>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</si>
  <si>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</si>
  <si>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</si>
  <si>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</si>
  <si>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</si>
  <si>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</si>
  <si>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</si>
  <si>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</si>
  <si>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</si>
  <si>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</si>
  <si>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</si>
  <si>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</si>
  <si>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</si>
  <si>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</si>
  <si>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</si>
  <si>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</si>
  <si>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</si>
  <si>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</si>
  <si>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</si>
  <si>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</si>
  <si>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</si>
  <si>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</si>
  <si>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</si>
  <si>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</si>
  <si>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</si>
  <si>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</si>
  <si>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</si>
  <si>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</si>
  <si>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</si>
  <si>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</si>
  <si>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</si>
  <si>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</si>
  <si>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Total Projectionist</t>
  </si>
  <si>
    <t>2022 Budget</t>
  </si>
  <si>
    <t>Nov 27-Dec 24, 2022</t>
  </si>
  <si>
    <t>Christmas is on Sunday</t>
  </si>
  <si>
    <t>Memorial Day (May 30) - Labor Day (Sept 5)</t>
  </si>
  <si>
    <t>March 2 - April 16, 2022</t>
  </si>
  <si>
    <t>Annual Contract 2021</t>
  </si>
  <si>
    <t>8 Years of Experience (Guideline for 2020 = $62,066) plus 1% to get to 2021 estimate.</t>
  </si>
  <si>
    <t>Continuing Ed  (includes Fall Leadership</t>
  </si>
  <si>
    <t>Veterans Tiny Homes</t>
  </si>
  <si>
    <t>Lutherdale Bible Camp</t>
  </si>
  <si>
    <t>Holman's Ministry</t>
  </si>
  <si>
    <t>Sept 2021 YTD includes $56,200 of the Gov Loan forgiveness recognized as income.</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</si>
  <si>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</si>
  <si>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</si>
  <si>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</si>
  <si>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</si>
  <si>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</si>
  <si>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</si>
  <si>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</si>
  <si>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Pay Rates for 2022</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</si>
  <si>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</si>
  <si>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</si>
  <si>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</si>
  <si>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</si>
  <si>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</si>
  <si>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</si>
  <si>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</si>
  <si>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</si>
  <si>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</si>
  <si>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</si>
  <si>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</si>
  <si>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</si>
  <si>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</si>
  <si>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</si>
  <si>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</si>
  <si>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</si>
  <si>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</si>
  <si>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</si>
  <si>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</si>
  <si>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</si>
  <si>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</si>
  <si>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</si>
  <si>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</si>
  <si>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2022:  Need $500 for 2021-23 for Visioning, $500 for Financial Questions and $500 other.</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</si>
  <si>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</si>
  <si>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</si>
  <si>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</si>
  <si>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</si>
  <si>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</si>
  <si>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</si>
  <si>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</si>
  <si>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</si>
  <si>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</si>
  <si>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</si>
  <si>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</si>
  <si>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</si>
  <si>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</si>
  <si>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</si>
  <si>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</si>
  <si>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</si>
  <si>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</si>
  <si>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</si>
  <si>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</si>
  <si>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</si>
  <si>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</si>
  <si>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</si>
  <si>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</si>
  <si>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Heather Keszler was not replaced when she left in 2021.                                                       "</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</si>
  <si>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</si>
  <si>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</si>
  <si>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</si>
  <si>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</si>
  <si>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</si>
  <si>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</si>
  <si>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</si>
  <si>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</si>
  <si>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</si>
  <si>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</si>
  <si>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</si>
  <si>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</si>
  <si>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</si>
  <si>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</si>
  <si>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</si>
  <si>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</si>
  <si>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</si>
  <si>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</si>
  <si>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</si>
  <si>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</si>
  <si>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</si>
  <si>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</si>
  <si>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</si>
  <si>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</si>
  <si>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</si>
  <si>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</si>
  <si>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</si>
  <si>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</si>
  <si>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</si>
  <si>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</si>
  <si>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</si>
  <si>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</si>
  <si>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</si>
  <si>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</si>
  <si>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</si>
  <si>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</si>
  <si>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</si>
  <si>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Oct 2021 YTD Actual</t>
  </si>
  <si>
    <t>Oct 2021 YTD Budget</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</si>
  <si>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</si>
  <si>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</si>
  <si>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</si>
  <si>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</si>
  <si>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</si>
  <si>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Per Jim Sodke:  Choir Piano (2 times) and 3 other pianos (1 time) at $75/each time.  Grand Piano (3 times) at $150 each.  Organ Tuning (1 time) at 750.   Total $1,575.  Includes rate increase and/or minor repairs.</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</si>
  <si>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</si>
  <si>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</si>
  <si>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</si>
  <si>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</si>
  <si>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</si>
  <si>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</si>
  <si>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</si>
  <si>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</si>
  <si>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</si>
  <si>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</si>
  <si>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</si>
  <si>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</si>
  <si>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</si>
  <si>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</si>
  <si>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</si>
  <si>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</si>
  <si>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Summer/Sub Bands/Equip. Set up</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</si>
  <si>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</si>
  <si>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</si>
  <si>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</si>
  <si>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</si>
  <si>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2022 Proposed Budget</t>
  </si>
  <si>
    <t>2021 Actual</t>
  </si>
  <si>
    <t>Per Pastor Kelly's Contract for 2022 she recieves 4 weeks of vacation (including 4 Sundays).  In addition, for 2022, Pastor Kelly elected to purchase 2 weeks of vacation (includes 2 Sundays).</t>
  </si>
  <si>
    <t>Custodian - Glenn Napier (20 hrs/week)</t>
  </si>
  <si>
    <t>Custodian - Added Support (15 hrs/week)</t>
  </si>
  <si>
    <t>Flutist:</t>
  </si>
  <si>
    <t xml:space="preserve">     Pay per Service</t>
  </si>
  <si>
    <t xml:space="preserve">     Pay per Service (per person)</t>
  </si>
  <si>
    <t xml:space="preserve">     Pay per Equipment set up (per person)</t>
  </si>
  <si>
    <t xml:space="preserve">    Pay per Service (per person)</t>
  </si>
  <si>
    <t>2209 Actual</t>
  </si>
</sst>
</file>

<file path=xl/styles.xml><?xml version="1.0" encoding="utf-8"?>
<styleSheet xmlns="http://schemas.openxmlformats.org/spreadsheetml/2006/main">
  <numFmts count="15">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s>
  <fonts count="42">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s>
  <fills count="14">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s>
  <borders count="1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080">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4" fontId="15" fillId="0" borderId="103" xfId="1" applyNumberFormat="1" applyFont="1" applyBorder="1" applyAlignment="1">
      <alignment vertical="center"/>
    </xf>
    <xf numFmtId="164" fontId="39" fillId="0" borderId="103"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4"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165" fontId="1" fillId="0" borderId="0" xfId="2" applyNumberFormat="1" applyFont="1" applyFill="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5" fontId="13" fillId="11" borderId="85" xfId="1" applyNumberFormat="1" applyFont="1" applyFill="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9" xfId="0" applyFont="1" applyFill="1" applyBorder="1" applyAlignment="1">
      <alignment vertical="center"/>
    </xf>
    <xf numFmtId="5" fontId="2" fillId="11" borderId="56" xfId="0" applyNumberFormat="1" applyFont="1" applyFill="1" applyBorder="1" applyAlignment="1">
      <alignment vertical="center"/>
    </xf>
    <xf numFmtId="5" fontId="2" fillId="11" borderId="110" xfId="0" applyNumberFormat="1" applyFont="1" applyFill="1" applyBorder="1" applyAlignment="1">
      <alignment vertical="center"/>
    </xf>
    <xf numFmtId="5" fontId="2" fillId="0" borderId="111" xfId="0" applyNumberFormat="1" applyFont="1" applyFill="1" applyBorder="1" applyAlignment="1">
      <alignment vertical="center"/>
    </xf>
    <xf numFmtId="5" fontId="0" fillId="0" borderId="56" xfId="0" applyNumberFormat="1" applyBorder="1" applyAlignment="1">
      <alignment vertical="center"/>
    </xf>
    <xf numFmtId="5" fontId="2" fillId="12" borderId="111" xfId="0" applyNumberFormat="1" applyFont="1" applyFill="1" applyBorder="1" applyAlignment="1">
      <alignment vertical="center"/>
    </xf>
    <xf numFmtId="5" fontId="2" fillId="11" borderId="108"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12" xfId="1" applyNumberFormat="1" applyFont="1" applyFill="1" applyBorder="1" applyAlignment="1">
      <alignment vertical="center"/>
    </xf>
    <xf numFmtId="165" fontId="8" fillId="0" borderId="113" xfId="2" applyNumberFormat="1" applyFont="1" applyFill="1" applyBorder="1" applyAlignment="1">
      <alignment vertical="center"/>
    </xf>
    <xf numFmtId="5" fontId="8" fillId="11" borderId="108" xfId="1" applyNumberFormat="1" applyFont="1" applyFill="1" applyBorder="1" applyAlignment="1">
      <alignment vertical="center"/>
    </xf>
    <xf numFmtId="5" fontId="8" fillId="0" borderId="114" xfId="1" applyNumberFormat="1" applyFont="1" applyFill="1" applyBorder="1" applyAlignment="1">
      <alignment vertical="center"/>
    </xf>
    <xf numFmtId="5" fontId="8" fillId="11" borderId="85" xfId="1"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165" fontId="8" fillId="0" borderId="33" xfId="2" applyNumberFormat="1" applyFont="1" applyBorder="1" applyAlignment="1">
      <alignment horizontal="center" vertical="center"/>
    </xf>
    <xf numFmtId="0" fontId="24" fillId="0" borderId="0" xfId="0" applyFont="1" applyAlignment="1">
      <alignment horizontal="center" vertical="center" wrapText="1"/>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2"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0" fontId="21" fillId="0" borderId="0" xfId="0" applyFont="1" applyAlignment="1">
      <alignment horizontal="center"/>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167" fontId="25" fillId="11" borderId="18" xfId="0" applyNumberFormat="1"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105" xfId="0" applyFont="1" applyBorder="1" applyAlignment="1">
      <alignment horizontal="left" vertical="top" wrapText="1"/>
    </xf>
    <xf numFmtId="0" fontId="22" fillId="0" borderId="24" xfId="0" applyFont="1" applyBorder="1" applyAlignment="1">
      <alignment horizontal="left" vertical="top" wrapText="1"/>
    </xf>
    <xf numFmtId="0" fontId="22" fillId="0" borderId="22" xfId="0" applyFont="1" applyBorder="1" applyAlignment="1">
      <alignment horizontal="left" vertical="top"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22" fillId="0" borderId="82" xfId="0" applyFont="1" applyBorder="1" applyAlignment="1">
      <alignment horizontal="left" vertical="top" wrapText="1"/>
    </xf>
    <xf numFmtId="0" fontId="25" fillId="11" borderId="18" xfId="0" applyFont="1" applyFill="1" applyBorder="1" applyAlignment="1">
      <alignment horizontal="center" vertical="center" wrapText="1"/>
    </xf>
    <xf numFmtId="0" fontId="22" fillId="0" borderId="18"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2" fillId="0" borderId="6" xfId="0" applyFont="1" applyBorder="1" applyAlignment="1">
      <alignment horizontal="left" vertical="top" wrapText="1"/>
    </xf>
    <xf numFmtId="0" fontId="22" fillId="0" borderId="21" xfId="0" applyFont="1" applyBorder="1" applyAlignment="1">
      <alignment horizontal="left" vertical="top" wrapText="1"/>
    </xf>
    <xf numFmtId="0" fontId="22" fillId="0" borderId="19"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1"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57" xfId="0" applyFont="1" applyFill="1" applyBorder="1" applyAlignment="1">
      <alignment horizontal="center" vertical="center"/>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5" fillId="0" borderId="0" xfId="0" applyFont="1" applyBorder="1" applyAlignment="1">
      <alignment horizontal="center" vertical="center" textRotation="90" wrapText="1"/>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5" fontId="27" fillId="0" borderId="21" xfId="1" applyNumberFormat="1" applyFont="1" applyBorder="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CCFF"/>
      <color rgb="FFFF99FF"/>
      <color rgb="FF99FFCC"/>
      <color rgb="FFFFFFCC"/>
      <color rgb="FFCCCC00"/>
      <color rgb="FFFFCC66"/>
      <color rgb="FFFFFF99"/>
      <color rgb="FFCCFFCC"/>
      <color rgb="FFF8F8F8"/>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3675"/>
          <c:h val="0.79804560260588686"/>
        </c:manualLayout>
      </c:layout>
      <c:pieChart>
        <c:varyColors val="1"/>
        <c:ser>
          <c:idx val="0"/>
          <c:order val="0"/>
          <c:dLbls>
            <c:dLblPos val="ctr"/>
            <c:showVal val="1"/>
            <c:showLeaderLines val="1"/>
          </c:dLbls>
          <c:cat>
            <c:multiLvlStrRef>
              <c:f>'New Year-Full Year'!$AD$4:$AG$4</c:f>
            </c:multiLvlStrRef>
          </c:cat>
          <c:val>
            <c:numRef>
              <c:f>'New Year-Full Year'!$AD$166:$AG$166</c:f>
            </c:numRef>
          </c:val>
        </c:ser>
        <c:firstSliceAng val="0"/>
      </c:pieChart>
    </c:plotArea>
    <c:legend>
      <c:legendPos val="r"/>
    </c:legend>
    <c:plotVisOnly val="1"/>
  </c:chart>
  <c:printSettings>
    <c:headerFooter/>
    <c:pageMargins b="0.75000000000000933" l="0.70000000000000062" r="0.70000000000000062" t="0.750000000000009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362"/>
          <c:h val="0.79804560260588819"/>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168</xdr:row>
      <xdr:rowOff>6350</xdr:rowOff>
    </xdr:from>
    <xdr:to>
      <xdr:col>34</xdr:col>
      <xdr:colOff>82550</xdr:colOff>
      <xdr:row>189</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0" customWidth="1"/>
    <col min="2" max="16384" width="9.08984375" style="40"/>
  </cols>
  <sheetData>
    <row r="2" spans="1:3">
      <c r="A2" s="40" t="s">
        <v>156</v>
      </c>
      <c r="C2" s="41">
        <v>2022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C45" sqref="C45"/>
    </sheetView>
  </sheetViews>
  <sheetFormatPr defaultRowHeight="15.5"/>
  <cols>
    <col min="1" max="1" width="1.7265625" style="347" customWidth="1"/>
    <col min="2" max="2" width="43.54296875" style="347" customWidth="1"/>
    <col min="3" max="3" width="10.26953125" style="379" customWidth="1"/>
    <col min="4" max="4" width="58.90625" style="347" customWidth="1"/>
    <col min="5" max="5" width="9.7265625" style="347" bestFit="1" customWidth="1"/>
    <col min="6" max="16384" width="8.7265625" style="347"/>
  </cols>
  <sheetData>
    <row r="1" spans="1:5" ht="20">
      <c r="A1" s="969" t="s">
        <v>83</v>
      </c>
      <c r="B1" s="969"/>
      <c r="C1" s="969"/>
      <c r="D1" s="969"/>
      <c r="E1" s="969"/>
    </row>
    <row r="2" spans="1:5" ht="18.5" customHeight="1">
      <c r="A2" s="970" t="s">
        <v>477</v>
      </c>
      <c r="B2" s="970"/>
      <c r="C2" s="970"/>
      <c r="D2" s="970"/>
      <c r="E2" s="970"/>
    </row>
    <row r="3" spans="1:5" ht="18.5" customHeight="1" thickBot="1">
      <c r="A3" s="554"/>
      <c r="B3" s="554"/>
      <c r="C3" s="554"/>
      <c r="D3" s="554"/>
      <c r="E3" s="554"/>
    </row>
    <row r="4" spans="1:5" ht="30" customHeight="1" thickBot="1">
      <c r="A4" s="554"/>
      <c r="B4" s="1061" t="s">
        <v>340</v>
      </c>
      <c r="C4" s="1062"/>
      <c r="D4" s="1062"/>
      <c r="E4" s="1063"/>
    </row>
    <row r="5" spans="1:5">
      <c r="B5" s="555" t="s">
        <v>406</v>
      </c>
      <c r="C5" s="556">
        <f>+'New Year-Full Year'!P80+'New Year-Full Year'!P83</f>
        <v>84504</v>
      </c>
      <c r="D5" s="1055" t="str">
        <f>+"Annually  ($"&amp;'New Year-Full Year'!P80-22000&amp;" salary, $22000 housing, and $"&amp;'New Year-Full Year'!P83&amp;" FICA Tax)"</f>
        <v>Annually  ($56499 salary, $22000 housing, and $6005 FICA Tax)</v>
      </c>
      <c r="E5" s="1056"/>
    </row>
    <row r="6" spans="1:5" ht="16" thickBot="1">
      <c r="B6" s="558" t="s">
        <v>338</v>
      </c>
      <c r="C6" s="557">
        <f>+'New Year-Full Year'!P85</f>
        <v>19013</v>
      </c>
      <c r="D6" s="1053" t="str">
        <f>"Annually (the Portico % to use is "&amp;Pastor!Q39*100&amp;"%)"</f>
        <v>Annually (the Portico % to use is 22.5%)</v>
      </c>
      <c r="E6" s="1054"/>
    </row>
    <row r="7" spans="1:5">
      <c r="B7" s="555" t="s">
        <v>407</v>
      </c>
      <c r="C7" s="556">
        <f>+'New Year-Full Year'!P93+'New Year-Full Year'!P95</f>
        <v>72075</v>
      </c>
      <c r="D7" s="1055" t="str">
        <f>+"Annually  ($"&amp;'New Year-Full Year'!P93-20000&amp;" salary, $20000 housing, and $"&amp;'New Year-Full Year'!P95&amp;" FICA Tax)"</f>
        <v>Annually  ($46953 salary, $20000 housing, and $5122 FICA Tax)</v>
      </c>
      <c r="E7" s="1056"/>
    </row>
    <row r="8" spans="1:5" ht="16" thickBot="1">
      <c r="B8" s="558" t="s">
        <v>338</v>
      </c>
      <c r="C8" s="557">
        <f>+'New Year-Full Year'!P96</f>
        <v>11532</v>
      </c>
      <c r="D8" s="1053" t="str">
        <f>"Annually (the Portico % to use is "&amp;'Assoc. Pastor'!E36*100&amp;"%)"</f>
        <v>Annually (the Portico % to use is 16%)</v>
      </c>
      <c r="E8" s="1054"/>
    </row>
    <row r="9" spans="1:5" ht="18.5" customHeight="1" thickBot="1">
      <c r="A9" s="554"/>
      <c r="B9" s="554"/>
      <c r="C9" s="554"/>
      <c r="D9" s="554"/>
      <c r="E9" s="554"/>
    </row>
    <row r="10" spans="1:5" ht="30" customHeight="1" thickBot="1">
      <c r="A10" s="355"/>
      <c r="B10" s="373" t="s">
        <v>269</v>
      </c>
      <c r="C10" s="374" t="s">
        <v>270</v>
      </c>
      <c r="D10" s="355"/>
      <c r="E10" s="694"/>
    </row>
    <row r="11" spans="1:5" ht="18.5" customHeight="1">
      <c r="A11" s="355"/>
      <c r="B11" s="369" t="s">
        <v>339</v>
      </c>
      <c r="C11" s="370">
        <f>+'New Year-Full Year'!F105</f>
        <v>10</v>
      </c>
      <c r="D11" s="355"/>
      <c r="E11" s="355"/>
    </row>
    <row r="12" spans="1:5" ht="18.5" customHeight="1">
      <c r="A12" s="355"/>
      <c r="B12" s="369" t="s">
        <v>335</v>
      </c>
      <c r="C12" s="370">
        <f>+'New Year-Full Year'!F122</f>
        <v>19.440000000000001</v>
      </c>
      <c r="D12" s="695"/>
      <c r="E12" s="355"/>
    </row>
    <row r="13" spans="1:5" ht="18.5" customHeight="1">
      <c r="A13" s="355"/>
      <c r="B13" s="369" t="s">
        <v>336</v>
      </c>
      <c r="C13" s="370">
        <f>+'New Year-Full Year'!F126</f>
        <v>11.86</v>
      </c>
      <c r="D13" s="355"/>
      <c r="E13" s="355"/>
    </row>
    <row r="14" spans="1:5" ht="18.5" customHeight="1">
      <c r="A14" s="895"/>
      <c r="B14" s="369" t="s">
        <v>595</v>
      </c>
      <c r="C14" s="370">
        <f>+'New Year-Full Year'!F127</f>
        <v>13</v>
      </c>
      <c r="D14" s="895"/>
      <c r="E14" s="895"/>
    </row>
    <row r="15" spans="1:5" ht="18.5" customHeight="1">
      <c r="A15" s="355"/>
      <c r="B15" s="369" t="s">
        <v>596</v>
      </c>
      <c r="C15" s="370">
        <f>+'New Year-Full Year'!F128</f>
        <v>11</v>
      </c>
      <c r="D15" s="355"/>
      <c r="E15" s="355"/>
    </row>
    <row r="16" spans="1:5" ht="4" customHeight="1" thickBot="1">
      <c r="A16" s="355"/>
      <c r="B16" s="371"/>
      <c r="C16" s="372"/>
      <c r="D16" s="355"/>
      <c r="E16" s="355"/>
    </row>
    <row r="17" spans="1:7" ht="8" customHeight="1">
      <c r="A17" s="355"/>
      <c r="B17" s="355"/>
      <c r="C17" s="355"/>
      <c r="D17" s="355"/>
      <c r="E17" s="355"/>
    </row>
    <row r="18" spans="1:7" ht="18.5" customHeight="1" thickBot="1">
      <c r="A18" s="355"/>
      <c r="B18" s="346" t="s">
        <v>268</v>
      </c>
      <c r="C18" s="355"/>
      <c r="D18" s="355"/>
      <c r="E18" s="355"/>
    </row>
    <row r="19" spans="1:7" ht="16" thickBot="1">
      <c r="A19" s="348"/>
      <c r="B19" s="360" t="s">
        <v>272</v>
      </c>
      <c r="C19" s="376"/>
      <c r="D19" s="1059" t="s">
        <v>271</v>
      </c>
      <c r="E19" s="1060"/>
    </row>
    <row r="20" spans="1:7" ht="52" customHeight="1" thickBot="1">
      <c r="B20" s="375" t="s">
        <v>218</v>
      </c>
      <c r="C20" s="427">
        <f>+'Band and Other Music'!P12</f>
        <v>3168</v>
      </c>
      <c r="D20" s="1057" t="s">
        <v>551</v>
      </c>
      <c r="E20" s="1058"/>
    </row>
    <row r="21" spans="1:7" ht="33" customHeight="1" thickBot="1">
      <c r="B21" s="375" t="s">
        <v>105</v>
      </c>
      <c r="C21" s="427">
        <f>+'New Year-Full Year'!P108</f>
        <v>16795</v>
      </c>
      <c r="D21" s="1057" t="s">
        <v>188</v>
      </c>
      <c r="E21" s="1058"/>
    </row>
    <row r="22" spans="1:7" ht="33" customHeight="1" thickBot="1">
      <c r="B22" s="375" t="s">
        <v>337</v>
      </c>
      <c r="C22" s="427">
        <f>+'New Year-Full Year'!P116</f>
        <v>3000</v>
      </c>
      <c r="D22" s="1057" t="s">
        <v>188</v>
      </c>
      <c r="E22" s="1058"/>
    </row>
    <row r="23" spans="1:7" ht="16" thickBot="1">
      <c r="A23" s="356"/>
      <c r="B23" s="349"/>
      <c r="C23" s="377"/>
      <c r="D23" s="349"/>
    </row>
    <row r="24" spans="1:7" ht="16" thickBot="1">
      <c r="A24" s="350"/>
      <c r="B24" s="360" t="s">
        <v>243</v>
      </c>
      <c r="C24" s="376"/>
      <c r="D24" s="361"/>
      <c r="E24" s="362"/>
    </row>
    <row r="25" spans="1:7">
      <c r="A25" s="1048"/>
      <c r="B25" s="357" t="s">
        <v>546</v>
      </c>
      <c r="C25" s="428">
        <f>+'Band and Other Music'!P23</f>
        <v>5</v>
      </c>
      <c r="D25" s="1049" t="s">
        <v>511</v>
      </c>
      <c r="E25" s="1050"/>
    </row>
    <row r="26" spans="1:7">
      <c r="A26" s="1048"/>
      <c r="B26" s="357" t="s">
        <v>547</v>
      </c>
      <c r="C26" s="428">
        <f>+'Band and Other Music'!P24</f>
        <v>3</v>
      </c>
      <c r="D26" s="1049"/>
      <c r="E26" s="1050"/>
    </row>
    <row r="27" spans="1:7">
      <c r="A27" s="1048"/>
      <c r="B27" s="357" t="s">
        <v>601</v>
      </c>
      <c r="C27" s="429">
        <f>+'Band and Other Music'!P25</f>
        <v>25</v>
      </c>
      <c r="D27" s="1049"/>
      <c r="E27" s="1050"/>
      <c r="G27" s="351"/>
    </row>
    <row r="28" spans="1:7" ht="16" thickBot="1">
      <c r="A28" s="1048"/>
      <c r="B28" s="358" t="s">
        <v>601</v>
      </c>
      <c r="C28" s="430">
        <f>+'Band and Other Music'!P26</f>
        <v>35</v>
      </c>
      <c r="D28" s="1051"/>
      <c r="E28" s="1052"/>
    </row>
    <row r="29" spans="1:7" ht="16" thickBot="1">
      <c r="A29" s="350"/>
    </row>
    <row r="30" spans="1:7" ht="16" thickBot="1">
      <c r="A30" s="350"/>
      <c r="B30" s="360" t="s">
        <v>510</v>
      </c>
      <c r="C30" s="376"/>
      <c r="D30" s="361"/>
      <c r="E30" s="362"/>
    </row>
    <row r="31" spans="1:7">
      <c r="A31" s="1048"/>
      <c r="B31" s="357" t="s">
        <v>548</v>
      </c>
      <c r="C31" s="428">
        <f>+'Band and Other Music'!P39</f>
        <v>2</v>
      </c>
      <c r="D31" s="1049" t="s">
        <v>267</v>
      </c>
      <c r="E31" s="1050"/>
    </row>
    <row r="32" spans="1:7" ht="16" thickBot="1">
      <c r="A32" s="1048"/>
      <c r="B32" s="358" t="s">
        <v>599</v>
      </c>
      <c r="C32" s="430">
        <f>+'Band and Other Music'!P40</f>
        <v>25</v>
      </c>
      <c r="D32" s="1051"/>
      <c r="E32" s="1052"/>
    </row>
    <row r="33" spans="1:5" ht="16" thickBot="1">
      <c r="A33" s="350"/>
    </row>
    <row r="34" spans="1:5" ht="16" thickBot="1">
      <c r="A34" s="350"/>
      <c r="B34" s="360" t="s">
        <v>262</v>
      </c>
      <c r="C34" s="376"/>
      <c r="D34" s="361"/>
      <c r="E34" s="362"/>
    </row>
    <row r="35" spans="1:5">
      <c r="A35" s="1048"/>
      <c r="B35" s="357" t="s">
        <v>549</v>
      </c>
      <c r="C35" s="428">
        <f>+'Band and Other Music'!P46</f>
        <v>3</v>
      </c>
      <c r="D35" s="350" t="s">
        <v>252</v>
      </c>
      <c r="E35" s="363"/>
    </row>
    <row r="36" spans="1:5" ht="16" thickBot="1">
      <c r="A36" s="1048"/>
      <c r="B36" s="365" t="s">
        <v>599</v>
      </c>
      <c r="C36" s="431">
        <f>+'Band and Other Music'!P47</f>
        <v>50</v>
      </c>
      <c r="D36" s="352"/>
      <c r="E36" s="366"/>
    </row>
    <row r="37" spans="1:5" ht="15" customHeight="1">
      <c r="A37" s="1048"/>
      <c r="B37" s="367" t="s">
        <v>273</v>
      </c>
      <c r="C37" s="432">
        <f>+'Band and Other Music'!P49</f>
        <v>2</v>
      </c>
      <c r="D37" s="353" t="s">
        <v>252</v>
      </c>
      <c r="E37" s="368"/>
    </row>
    <row r="38" spans="1:5" ht="15" customHeight="1" thickBot="1">
      <c r="A38" s="1048"/>
      <c r="B38" s="358" t="s">
        <v>600</v>
      </c>
      <c r="C38" s="430">
        <f>+'Band and Other Music'!P50</f>
        <v>25</v>
      </c>
      <c r="D38" s="359"/>
      <c r="E38" s="364"/>
    </row>
    <row r="39" spans="1:5" ht="16" thickBot="1">
      <c r="A39" s="354"/>
      <c r="B39" s="350"/>
      <c r="C39" s="378"/>
      <c r="D39" s="350"/>
      <c r="E39" s="350"/>
    </row>
    <row r="40" spans="1:5" ht="16" thickBot="1">
      <c r="A40" s="350"/>
      <c r="B40" s="360" t="s">
        <v>219</v>
      </c>
      <c r="C40" s="376"/>
      <c r="D40" s="361"/>
      <c r="E40" s="362"/>
    </row>
    <row r="41" spans="1:5">
      <c r="A41" s="1048"/>
      <c r="B41" s="357" t="s">
        <v>550</v>
      </c>
      <c r="C41" s="428">
        <f>+'Band and Other Music'!P57</f>
        <v>1</v>
      </c>
      <c r="D41" s="350"/>
      <c r="E41" s="363"/>
    </row>
    <row r="42" spans="1:5" ht="16" thickBot="1">
      <c r="A42" s="1048"/>
      <c r="B42" s="358" t="s">
        <v>598</v>
      </c>
      <c r="C42" s="430">
        <f>+'Band and Other Music'!P58</f>
        <v>25</v>
      </c>
      <c r="D42" s="359"/>
      <c r="E42" s="364"/>
    </row>
    <row r="43" spans="1:5" ht="16" thickBot="1">
      <c r="A43" s="350"/>
      <c r="C43" s="380"/>
    </row>
    <row r="44" spans="1:5" ht="16" thickBot="1">
      <c r="A44" s="350"/>
      <c r="B44" s="360" t="s">
        <v>597</v>
      </c>
      <c r="C44" s="376"/>
      <c r="D44" s="361"/>
      <c r="E44" s="362"/>
    </row>
    <row r="45" spans="1:5">
      <c r="A45" s="1048"/>
      <c r="B45" s="357" t="s">
        <v>550</v>
      </c>
      <c r="C45" s="747">
        <v>1</v>
      </c>
      <c r="D45" s="350"/>
      <c r="E45" s="363"/>
    </row>
    <row r="46" spans="1:5" ht="16" thickBot="1">
      <c r="A46" s="1048"/>
      <c r="B46" s="358" t="s">
        <v>598</v>
      </c>
      <c r="C46" s="1079">
        <v>35</v>
      </c>
      <c r="D46" s="359"/>
      <c r="E46" s="364"/>
    </row>
    <row r="47" spans="1:5">
      <c r="A47" s="350"/>
    </row>
    <row r="48" spans="1:5">
      <c r="A48" s="350"/>
    </row>
    <row r="49" spans="1:1">
      <c r="A49" s="350"/>
    </row>
    <row r="50" spans="1:1">
      <c r="A50" s="350"/>
    </row>
    <row r="51" spans="1:1">
      <c r="A51" s="350"/>
    </row>
    <row r="52" spans="1:1">
      <c r="A52" s="350"/>
    </row>
    <row r="53" spans="1:1">
      <c r="A53" s="350"/>
    </row>
    <row r="54" spans="1:1">
      <c r="A54" s="350"/>
    </row>
    <row r="55" spans="1:1">
      <c r="A55" s="350"/>
    </row>
    <row r="56" spans="1:1">
      <c r="A56" s="350"/>
    </row>
    <row r="57" spans="1:1">
      <c r="A57" s="350"/>
    </row>
    <row r="58" spans="1:1">
      <c r="A58" s="350"/>
    </row>
    <row r="59" spans="1:1">
      <c r="A59" s="350"/>
    </row>
  </sheetData>
  <mergeCells count="19">
    <mergeCell ref="A45:A46"/>
    <mergeCell ref="B4:E4"/>
    <mergeCell ref="A1:E1"/>
    <mergeCell ref="A2:E2"/>
    <mergeCell ref="D7:E7"/>
    <mergeCell ref="D8:E8"/>
    <mergeCell ref="A41:A42"/>
    <mergeCell ref="D25:E28"/>
    <mergeCell ref="D31:E32"/>
    <mergeCell ref="D6:E6"/>
    <mergeCell ref="D5:E5"/>
    <mergeCell ref="A37:A38"/>
    <mergeCell ref="D21:E21"/>
    <mergeCell ref="D22:E22"/>
    <mergeCell ref="D20:E20"/>
    <mergeCell ref="A25:A28"/>
    <mergeCell ref="D19:E19"/>
    <mergeCell ref="A31:A32"/>
    <mergeCell ref="A35:A36"/>
  </mergeCells>
  <printOptions horizontalCentered="1"/>
  <pageMargins left="0.2" right="0.2" top="0.25" bottom="0.25" header="0.3" footer="0.3"/>
  <pageSetup scale="83" orientation="portrait" horizontalDpi="4294967293" verticalDpi="0" r:id="rId1"/>
</worksheet>
</file>

<file path=xl/worksheets/sheet11.xml><?xml version="1.0" encoding="utf-8"?>
<worksheet xmlns="http://schemas.openxmlformats.org/spreadsheetml/2006/main" xmlns:r="http://schemas.openxmlformats.org/officeDocument/2006/relationships">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c r="B1" s="387" t="s">
        <v>83</v>
      </c>
      <c r="C1" s="385"/>
      <c r="D1" s="385"/>
      <c r="E1" s="385"/>
    </row>
    <row r="2" spans="1:9" ht="23.25" customHeight="1">
      <c r="E2" s="386" t="s">
        <v>82</v>
      </c>
    </row>
    <row r="3" spans="1:9">
      <c r="E3" s="1064" t="s">
        <v>184</v>
      </c>
      <c r="F3" s="1066" t="s">
        <v>184</v>
      </c>
      <c r="G3" s="1067"/>
      <c r="H3" s="1067"/>
      <c r="I3" s="1068"/>
    </row>
    <row r="4" spans="1:9" s="2" customFormat="1">
      <c r="A4" s="43"/>
      <c r="D4" s="14"/>
      <c r="E4" s="1065"/>
      <c r="F4" s="381" t="s">
        <v>275</v>
      </c>
      <c r="G4" s="382" t="s">
        <v>276</v>
      </c>
      <c r="H4" s="382" t="s">
        <v>277</v>
      </c>
      <c r="I4" s="382" t="s">
        <v>278</v>
      </c>
    </row>
    <row r="5" spans="1:9" ht="6" customHeight="1">
      <c r="A5" s="42">
        <v>18</v>
      </c>
    </row>
    <row r="6" spans="1:9" ht="18.5">
      <c r="A6" s="42">
        <v>20</v>
      </c>
      <c r="B6" s="6" t="s">
        <v>88</v>
      </c>
    </row>
    <row r="7" spans="1:9" s="2" customFormat="1">
      <c r="A7" s="42">
        <v>26</v>
      </c>
      <c r="B7" s="11"/>
      <c r="C7" s="12" t="s">
        <v>89</v>
      </c>
      <c r="D7" s="12"/>
      <c r="E7" s="11">
        <v>51330</v>
      </c>
      <c r="H7" s="1">
        <v>51330</v>
      </c>
      <c r="I7" s="1"/>
    </row>
    <row r="8" spans="1:9" s="2" customFormat="1" ht="6.75" customHeight="1">
      <c r="A8" s="42">
        <v>27</v>
      </c>
      <c r="B8" s="14"/>
      <c r="C8" s="15"/>
      <c r="D8" s="14"/>
      <c r="E8" s="14"/>
    </row>
    <row r="9" spans="1:9" s="2" customFormat="1" ht="18.5">
      <c r="A9" s="42">
        <v>28</v>
      </c>
      <c r="B9" s="18" t="s">
        <v>58</v>
      </c>
      <c r="C9" s="15"/>
      <c r="D9" s="14"/>
      <c r="E9" s="14"/>
    </row>
    <row r="10" spans="1:9">
      <c r="A10" s="42">
        <v>29</v>
      </c>
      <c r="B10" s="2" t="s">
        <v>12</v>
      </c>
    </row>
    <row r="11" spans="1:9">
      <c r="A11" s="42">
        <v>30</v>
      </c>
      <c r="C11" s="228" t="s">
        <v>80</v>
      </c>
      <c r="D11" s="240"/>
      <c r="E11" s="225">
        <v>2000</v>
      </c>
      <c r="G11" s="1">
        <v>2000</v>
      </c>
    </row>
    <row r="12" spans="1:9">
      <c r="A12" s="42">
        <v>31</v>
      </c>
      <c r="C12" s="233" t="s">
        <v>13</v>
      </c>
      <c r="D12" s="243"/>
      <c r="E12" s="230">
        <v>1000</v>
      </c>
      <c r="G12" s="1">
        <v>1000</v>
      </c>
    </row>
    <row r="13" spans="1:9">
      <c r="A13" s="42">
        <v>32</v>
      </c>
      <c r="C13" s="233" t="s">
        <v>181</v>
      </c>
      <c r="D13" s="243"/>
      <c r="E13" s="230">
        <v>1000</v>
      </c>
      <c r="G13" s="1">
        <v>1000</v>
      </c>
    </row>
    <row r="14" spans="1:9">
      <c r="A14" s="42">
        <v>33</v>
      </c>
      <c r="C14" s="233" t="s">
        <v>14</v>
      </c>
      <c r="D14" s="243"/>
      <c r="E14" s="230">
        <v>300</v>
      </c>
      <c r="G14" s="1">
        <v>300</v>
      </c>
    </row>
    <row r="15" spans="1:9" ht="14.5" customHeight="1">
      <c r="A15" s="42">
        <v>34</v>
      </c>
      <c r="C15" s="233" t="s">
        <v>15</v>
      </c>
      <c r="D15" s="243"/>
      <c r="E15" s="230">
        <v>200</v>
      </c>
      <c r="G15" s="1">
        <v>200</v>
      </c>
    </row>
    <row r="16" spans="1:9">
      <c r="C16" s="233" t="s">
        <v>104</v>
      </c>
      <c r="D16" s="243"/>
      <c r="E16" s="230">
        <v>750</v>
      </c>
      <c r="G16" s="1">
        <v>750</v>
      </c>
    </row>
    <row r="17" spans="1:7" ht="14.4" customHeight="1">
      <c r="A17" s="42">
        <v>35</v>
      </c>
      <c r="C17" s="238" t="s">
        <v>84</v>
      </c>
      <c r="D17" s="246"/>
      <c r="E17" s="235">
        <v>200</v>
      </c>
      <c r="G17" s="1">
        <v>200</v>
      </c>
    </row>
    <row r="18" spans="1:7" s="2" customFormat="1">
      <c r="A18" s="42">
        <v>36</v>
      </c>
      <c r="B18" s="36" t="s">
        <v>16</v>
      </c>
      <c r="C18" s="36"/>
      <c r="D18" s="36"/>
      <c r="E18" s="36">
        <v>5450</v>
      </c>
    </row>
    <row r="19" spans="1:7" ht="6" customHeight="1">
      <c r="A19" s="42">
        <v>37</v>
      </c>
    </row>
    <row r="20" spans="1:7">
      <c r="A20" s="42">
        <v>40</v>
      </c>
      <c r="B20" s="2" t="s">
        <v>145</v>
      </c>
    </row>
    <row r="21" spans="1:7">
      <c r="A21" s="42">
        <v>41</v>
      </c>
      <c r="C21" s="228" t="s">
        <v>17</v>
      </c>
      <c r="D21" s="240"/>
      <c r="E21" s="253">
        <v>4000</v>
      </c>
      <c r="F21" s="1">
        <v>4000</v>
      </c>
    </row>
    <row r="22" spans="1:7">
      <c r="C22" s="233" t="s">
        <v>150</v>
      </c>
      <c r="D22" s="243"/>
      <c r="E22" s="230">
        <v>0</v>
      </c>
      <c r="F22" s="1">
        <v>0</v>
      </c>
    </row>
    <row r="23" spans="1:7">
      <c r="A23" s="42">
        <v>43</v>
      </c>
      <c r="C23" s="233" t="s">
        <v>18</v>
      </c>
      <c r="D23" s="243"/>
      <c r="E23" s="230">
        <v>100</v>
      </c>
      <c r="F23" s="1">
        <v>100</v>
      </c>
    </row>
    <row r="24" spans="1:7">
      <c r="A24" s="42">
        <v>44</v>
      </c>
      <c r="C24" s="238" t="s">
        <v>19</v>
      </c>
      <c r="D24" s="246"/>
      <c r="E24" s="235">
        <v>200</v>
      </c>
      <c r="F24" s="1">
        <v>200</v>
      </c>
    </row>
    <row r="25" spans="1:7" s="2" customFormat="1">
      <c r="A25" s="42">
        <v>45</v>
      </c>
      <c r="B25" s="36" t="s">
        <v>146</v>
      </c>
      <c r="C25" s="36"/>
      <c r="D25" s="36"/>
      <c r="E25" s="36">
        <v>4300</v>
      </c>
    </row>
    <row r="26" spans="1:7" ht="6.75" customHeight="1">
      <c r="A26" s="42">
        <v>46</v>
      </c>
      <c r="D26" s="1"/>
    </row>
    <row r="27" spans="1:7" s="2" customFormat="1">
      <c r="A27" s="42">
        <v>51</v>
      </c>
      <c r="B27" s="36" t="s">
        <v>20</v>
      </c>
      <c r="C27" s="36"/>
      <c r="D27" s="36"/>
      <c r="E27" s="47">
        <v>12800</v>
      </c>
      <c r="G27" s="1">
        <v>12800</v>
      </c>
    </row>
    <row r="28" spans="1:7" ht="6.75" customHeight="1">
      <c r="A28" s="42">
        <v>52</v>
      </c>
    </row>
    <row r="29" spans="1:7">
      <c r="A29" s="42">
        <v>53</v>
      </c>
      <c r="B29" s="2" t="s">
        <v>90</v>
      </c>
    </row>
    <row r="30" spans="1:7">
      <c r="A30" s="42">
        <v>54</v>
      </c>
      <c r="C30" s="228" t="s">
        <v>92</v>
      </c>
      <c r="D30" s="240"/>
      <c r="E30" s="225">
        <v>400</v>
      </c>
      <c r="F30" s="1">
        <v>400</v>
      </c>
    </row>
    <row r="31" spans="1:7">
      <c r="A31" s="42">
        <v>55</v>
      </c>
      <c r="C31" s="238" t="s">
        <v>87</v>
      </c>
      <c r="D31" s="246"/>
      <c r="E31" s="235">
        <v>150</v>
      </c>
      <c r="F31" s="1">
        <v>150</v>
      </c>
    </row>
    <row r="32" spans="1:7" s="2" customFormat="1">
      <c r="A32" s="42">
        <v>56</v>
      </c>
      <c r="B32" s="36" t="s">
        <v>86</v>
      </c>
      <c r="C32" s="36"/>
      <c r="D32" s="36"/>
      <c r="E32" s="36">
        <v>550</v>
      </c>
    </row>
    <row r="33" spans="1:8" ht="5.25" customHeight="1">
      <c r="A33" s="42">
        <v>57</v>
      </c>
    </row>
    <row r="34" spans="1:8">
      <c r="A34" s="42">
        <v>58</v>
      </c>
      <c r="B34" s="36" t="s">
        <v>21</v>
      </c>
      <c r="C34" s="21"/>
      <c r="D34" s="21"/>
      <c r="E34" s="52">
        <v>200</v>
      </c>
      <c r="H34" s="1">
        <v>200</v>
      </c>
    </row>
    <row r="35" spans="1:8" ht="6" customHeight="1">
      <c r="A35" s="42">
        <v>59</v>
      </c>
    </row>
    <row r="36" spans="1:8">
      <c r="A36" s="42">
        <v>60</v>
      </c>
      <c r="B36" s="2" t="s">
        <v>22</v>
      </c>
    </row>
    <row r="37" spans="1:8">
      <c r="A37" s="42">
        <v>61</v>
      </c>
      <c r="C37" s="228" t="s">
        <v>23</v>
      </c>
      <c r="D37" s="240"/>
      <c r="E37" s="253">
        <v>200</v>
      </c>
      <c r="F37" s="1">
        <v>200</v>
      </c>
    </row>
    <row r="38" spans="1:8">
      <c r="A38" s="42">
        <v>62</v>
      </c>
      <c r="C38" s="233" t="s">
        <v>24</v>
      </c>
      <c r="D38" s="243"/>
      <c r="E38" s="251">
        <v>800</v>
      </c>
      <c r="F38" s="1">
        <v>800</v>
      </c>
    </row>
    <row r="39" spans="1:8">
      <c r="A39" s="42">
        <v>63</v>
      </c>
      <c r="C39" s="233" t="s">
        <v>25</v>
      </c>
      <c r="D39" s="243"/>
      <c r="E39" s="251">
        <v>1000</v>
      </c>
      <c r="H39" s="1">
        <v>1000</v>
      </c>
    </row>
    <row r="40" spans="1:8">
      <c r="A40" s="42">
        <v>64</v>
      </c>
      <c r="C40" s="233" t="s">
        <v>26</v>
      </c>
      <c r="D40" s="243"/>
      <c r="E40" s="251">
        <v>3000</v>
      </c>
      <c r="H40" s="1">
        <v>3000</v>
      </c>
    </row>
    <row r="41" spans="1:8">
      <c r="C41" s="233" t="s">
        <v>107</v>
      </c>
      <c r="D41" s="243"/>
      <c r="E41" s="251">
        <v>200</v>
      </c>
      <c r="F41" s="1">
        <v>200</v>
      </c>
    </row>
    <row r="42" spans="1:8">
      <c r="C42" s="233" t="s">
        <v>174</v>
      </c>
      <c r="D42" s="243"/>
      <c r="E42" s="251">
        <v>0</v>
      </c>
      <c r="F42" s="1">
        <v>0</v>
      </c>
    </row>
    <row r="43" spans="1:8">
      <c r="A43" s="42">
        <v>65</v>
      </c>
      <c r="C43" s="238" t="s">
        <v>112</v>
      </c>
      <c r="D43" s="246"/>
      <c r="E43" s="252">
        <v>1575</v>
      </c>
      <c r="F43" s="1">
        <v>1575</v>
      </c>
    </row>
    <row r="44" spans="1:8" s="2" customFormat="1">
      <c r="A44" s="42">
        <v>66</v>
      </c>
      <c r="B44" s="36" t="s">
        <v>27</v>
      </c>
      <c r="C44" s="36"/>
      <c r="D44" s="36"/>
      <c r="E44" s="36">
        <v>6775</v>
      </c>
    </row>
    <row r="45" spans="1:8" ht="6" customHeight="1">
      <c r="A45" s="42">
        <v>67</v>
      </c>
    </row>
    <row r="46" spans="1:8">
      <c r="A46" s="42">
        <v>68</v>
      </c>
      <c r="B46" s="2" t="s">
        <v>28</v>
      </c>
    </row>
    <row r="47" spans="1:8" ht="14.4" customHeight="1">
      <c r="A47" s="42">
        <v>69</v>
      </c>
      <c r="C47" s="228" t="s">
        <v>29</v>
      </c>
      <c r="D47" s="240"/>
      <c r="E47" s="253">
        <v>3500</v>
      </c>
      <c r="F47" s="1">
        <v>3500</v>
      </c>
    </row>
    <row r="48" spans="1:8">
      <c r="A48" s="42">
        <v>70</v>
      </c>
      <c r="C48" s="233" t="s">
        <v>30</v>
      </c>
      <c r="D48" s="243"/>
      <c r="E48" s="230">
        <v>3250</v>
      </c>
      <c r="F48" s="1">
        <v>3250</v>
      </c>
    </row>
    <row r="49" spans="1:6" ht="14.5" customHeight="1">
      <c r="A49" s="42">
        <v>73</v>
      </c>
      <c r="C49" s="233" t="s">
        <v>31</v>
      </c>
      <c r="D49" s="243"/>
      <c r="E49" s="251">
        <v>13000</v>
      </c>
      <c r="F49" s="1">
        <v>13000</v>
      </c>
    </row>
    <row r="50" spans="1:6">
      <c r="A50" s="42">
        <v>74</v>
      </c>
      <c r="C50" s="233" t="s">
        <v>32</v>
      </c>
      <c r="D50" s="243"/>
      <c r="E50" s="251">
        <v>1000</v>
      </c>
      <c r="F50" s="1">
        <v>1000</v>
      </c>
    </row>
    <row r="51" spans="1:6">
      <c r="A51" s="42">
        <v>75</v>
      </c>
      <c r="C51" s="238" t="s">
        <v>33</v>
      </c>
      <c r="D51" s="246"/>
      <c r="E51" s="252">
        <v>1700</v>
      </c>
      <c r="F51" s="1">
        <v>1700</v>
      </c>
    </row>
    <row r="52" spans="1:6" ht="14.5" customHeight="1">
      <c r="A52" s="42">
        <v>73</v>
      </c>
      <c r="C52" s="233" t="s">
        <v>274</v>
      </c>
      <c r="D52" s="243"/>
      <c r="E52" s="251">
        <v>0</v>
      </c>
      <c r="F52" s="1">
        <v>0</v>
      </c>
    </row>
    <row r="53" spans="1:6" s="2" customFormat="1">
      <c r="A53" s="42">
        <v>76</v>
      </c>
      <c r="B53" s="36" t="s">
        <v>35</v>
      </c>
      <c r="C53" s="36"/>
      <c r="D53" s="36"/>
      <c r="E53" s="36">
        <v>22450</v>
      </c>
    </row>
    <row r="54" spans="1:6">
      <c r="A54" s="42">
        <v>77</v>
      </c>
      <c r="B54" s="36" t="s">
        <v>85</v>
      </c>
      <c r="C54" s="22"/>
      <c r="D54" s="22"/>
      <c r="E54" s="36">
        <v>52525</v>
      </c>
    </row>
    <row r="55" spans="1:6" ht="8.25" customHeight="1">
      <c r="A55" s="42">
        <v>78</v>
      </c>
    </row>
    <row r="56" spans="1:6" ht="30" customHeight="1">
      <c r="A56" s="42">
        <v>79</v>
      </c>
      <c r="B56" s="6" t="s">
        <v>34</v>
      </c>
    </row>
    <row r="57" spans="1:6" ht="15" customHeight="1">
      <c r="A57" s="42">
        <v>80</v>
      </c>
      <c r="B57" s="2" t="s">
        <v>147</v>
      </c>
      <c r="D57" s="49" t="s">
        <v>214</v>
      </c>
    </row>
    <row r="58" spans="1:6" ht="14.5" customHeight="1">
      <c r="A58" s="42">
        <v>81</v>
      </c>
      <c r="C58" s="228" t="s">
        <v>171</v>
      </c>
      <c r="D58" s="240"/>
      <c r="E58" s="259">
        <v>72737</v>
      </c>
    </row>
    <row r="59" spans="1:6">
      <c r="A59" s="42">
        <v>82</v>
      </c>
      <c r="C59" s="233" t="s">
        <v>36</v>
      </c>
      <c r="D59" s="243"/>
      <c r="E59" s="267">
        <v>1500</v>
      </c>
    </row>
    <row r="60" spans="1:6" ht="14.5" customHeight="1">
      <c r="C60" s="233" t="s">
        <v>101</v>
      </c>
      <c r="D60" s="243"/>
      <c r="E60" s="267">
        <v>5564.3805000000002</v>
      </c>
    </row>
    <row r="61" spans="1:6" ht="14" customHeight="1">
      <c r="C61" s="233" t="s">
        <v>165</v>
      </c>
      <c r="D61" s="243"/>
      <c r="E61" s="267">
        <v>16110</v>
      </c>
    </row>
    <row r="62" spans="1:6" ht="14.4" customHeight="1">
      <c r="A62" s="42">
        <v>83</v>
      </c>
      <c r="C62" s="233" t="s">
        <v>166</v>
      </c>
      <c r="D62" s="243"/>
      <c r="E62" s="267">
        <v>2662</v>
      </c>
    </row>
    <row r="63" spans="1:6">
      <c r="C63" s="233" t="s">
        <v>103</v>
      </c>
      <c r="D63" s="243"/>
      <c r="E63" s="267">
        <v>600</v>
      </c>
    </row>
    <row r="64" spans="1:6">
      <c r="C64" s="233" t="s">
        <v>206</v>
      </c>
      <c r="D64" s="243"/>
      <c r="E64" s="267">
        <v>480</v>
      </c>
    </row>
    <row r="65" spans="1:8">
      <c r="A65" s="42">
        <v>85</v>
      </c>
      <c r="C65" s="238" t="s">
        <v>37</v>
      </c>
      <c r="D65" s="246"/>
      <c r="E65" s="281">
        <v>1000</v>
      </c>
      <c r="F65" s="383">
        <v>0.4</v>
      </c>
      <c r="G65" s="383">
        <v>0.2</v>
      </c>
      <c r="H65" s="383">
        <v>0.4</v>
      </c>
    </row>
    <row r="66" spans="1:8" s="2" customFormat="1">
      <c r="A66" s="42">
        <v>86</v>
      </c>
      <c r="B66" s="23" t="s">
        <v>148</v>
      </c>
      <c r="C66" s="23"/>
      <c r="D66" s="23"/>
      <c r="E66" s="23">
        <v>100653.3805</v>
      </c>
      <c r="F66" s="2">
        <v>40261.352200000001</v>
      </c>
      <c r="G66" s="2">
        <v>20130.676100000001</v>
      </c>
      <c r="H66" s="2">
        <v>40261.352200000001</v>
      </c>
    </row>
    <row r="67" spans="1:8" ht="6.75" customHeight="1">
      <c r="A67" s="42">
        <v>87</v>
      </c>
    </row>
    <row r="68" spans="1:8">
      <c r="A68" s="42">
        <v>88</v>
      </c>
      <c r="B68" s="2" t="s">
        <v>179</v>
      </c>
      <c r="E68" s="38"/>
    </row>
    <row r="69" spans="1:8">
      <c r="A69" s="42">
        <v>89</v>
      </c>
      <c r="C69" s="228" t="s">
        <v>38</v>
      </c>
      <c r="D69" s="240"/>
      <c r="E69" s="253">
        <v>45000</v>
      </c>
    </row>
    <row r="70" spans="1:8">
      <c r="C70" s="233" t="s">
        <v>37</v>
      </c>
      <c r="D70" s="243"/>
      <c r="E70" s="251">
        <v>750</v>
      </c>
    </row>
    <row r="71" spans="1:8">
      <c r="C71" s="233" t="s">
        <v>39</v>
      </c>
      <c r="D71" s="243"/>
      <c r="E71" s="251">
        <v>1500</v>
      </c>
    </row>
    <row r="72" spans="1:8">
      <c r="C72" s="233" t="s">
        <v>206</v>
      </c>
      <c r="D72" s="243"/>
      <c r="E72" s="251">
        <v>480</v>
      </c>
    </row>
    <row r="73" spans="1:8">
      <c r="C73" s="233" t="s">
        <v>103</v>
      </c>
      <c r="D73" s="243"/>
      <c r="E73" s="251">
        <v>350</v>
      </c>
    </row>
    <row r="74" spans="1:8">
      <c r="A74" s="42">
        <v>90</v>
      </c>
      <c r="C74" s="238" t="s">
        <v>212</v>
      </c>
      <c r="D74" s="246"/>
      <c r="E74" s="252">
        <v>2000</v>
      </c>
      <c r="F74" s="383">
        <v>0.4</v>
      </c>
      <c r="G74" s="383">
        <v>0.4</v>
      </c>
      <c r="H74" s="383">
        <v>0.2</v>
      </c>
    </row>
    <row r="75" spans="1:8" s="2" customFormat="1">
      <c r="A75" s="42">
        <v>91</v>
      </c>
      <c r="B75" s="23" t="s">
        <v>180</v>
      </c>
      <c r="C75" s="23"/>
      <c r="D75" s="23"/>
      <c r="E75" s="23">
        <v>50080</v>
      </c>
      <c r="F75" s="2">
        <v>20032</v>
      </c>
      <c r="G75" s="2">
        <v>20032</v>
      </c>
      <c r="H75" s="2">
        <v>10016</v>
      </c>
    </row>
    <row r="76" spans="1:8" ht="4.5" customHeight="1">
      <c r="A76" s="42">
        <v>92</v>
      </c>
    </row>
    <row r="77" spans="1:8" ht="4.5" customHeight="1"/>
    <row r="78" spans="1:8">
      <c r="A78" s="42">
        <v>93</v>
      </c>
      <c r="B78" s="2" t="s">
        <v>158</v>
      </c>
    </row>
    <row r="79" spans="1:8">
      <c r="A79" s="42">
        <v>94</v>
      </c>
      <c r="C79" s="228" t="s">
        <v>38</v>
      </c>
      <c r="D79" s="240"/>
      <c r="E79" s="259">
        <v>20808</v>
      </c>
      <c r="G79" s="1">
        <v>20808</v>
      </c>
    </row>
    <row r="80" spans="1:8">
      <c r="A80" s="42">
        <v>95</v>
      </c>
      <c r="C80" s="238" t="s">
        <v>40</v>
      </c>
      <c r="D80" s="246"/>
      <c r="E80" s="281">
        <v>800</v>
      </c>
      <c r="G80" s="1">
        <v>800</v>
      </c>
    </row>
    <row r="81" spans="1:7" s="2" customFormat="1">
      <c r="A81" s="42">
        <v>96</v>
      </c>
      <c r="B81" s="23" t="s">
        <v>41</v>
      </c>
      <c r="C81" s="23"/>
      <c r="D81" s="23"/>
      <c r="E81" s="23">
        <v>21608</v>
      </c>
    </row>
    <row r="82" spans="1:7" ht="6" customHeight="1">
      <c r="A82" s="42">
        <v>97</v>
      </c>
    </row>
    <row r="83" spans="1:7" ht="6" customHeight="1">
      <c r="A83" s="42">
        <v>106</v>
      </c>
    </row>
    <row r="84" spans="1:7">
      <c r="A84" s="42">
        <v>107</v>
      </c>
      <c r="B84" s="2" t="s">
        <v>42</v>
      </c>
    </row>
    <row r="85" spans="1:7">
      <c r="A85" s="42">
        <v>108</v>
      </c>
      <c r="C85" s="228" t="s">
        <v>105</v>
      </c>
      <c r="D85" s="240"/>
      <c r="E85" s="259">
        <v>15918</v>
      </c>
      <c r="F85" s="1">
        <v>15918</v>
      </c>
    </row>
    <row r="86" spans="1:7">
      <c r="C86" s="228" t="s">
        <v>218</v>
      </c>
      <c r="D86" s="240"/>
      <c r="E86" s="259">
        <v>3000</v>
      </c>
      <c r="F86" s="1">
        <v>3000</v>
      </c>
    </row>
    <row r="87" spans="1:7">
      <c r="A87" s="42">
        <v>109</v>
      </c>
      <c r="C87" s="233" t="s">
        <v>43</v>
      </c>
      <c r="D87" s="243"/>
      <c r="E87" s="230">
        <v>500</v>
      </c>
      <c r="F87" s="1">
        <v>500</v>
      </c>
    </row>
    <row r="88" spans="1:7">
      <c r="A88" s="42">
        <v>110</v>
      </c>
      <c r="C88" s="233" t="s">
        <v>44</v>
      </c>
      <c r="D88" s="243"/>
      <c r="E88" s="267">
        <v>13290</v>
      </c>
      <c r="F88" s="1">
        <v>13290</v>
      </c>
    </row>
    <row r="89" spans="1:7">
      <c r="A89" s="42">
        <v>110</v>
      </c>
      <c r="C89" s="941" t="s">
        <v>266</v>
      </c>
      <c r="D89" s="941"/>
      <c r="E89" s="267">
        <v>3000</v>
      </c>
      <c r="F89" s="1">
        <v>3000</v>
      </c>
    </row>
    <row r="90" spans="1:7">
      <c r="C90" s="233" t="s">
        <v>261</v>
      </c>
      <c r="D90" s="243"/>
      <c r="E90" s="267">
        <v>3350</v>
      </c>
      <c r="F90" s="1">
        <v>3350</v>
      </c>
    </row>
    <row r="91" spans="1:7">
      <c r="A91" s="42">
        <v>111</v>
      </c>
      <c r="C91" s="233" t="s">
        <v>45</v>
      </c>
      <c r="D91" s="243"/>
      <c r="E91" s="267">
        <v>7484</v>
      </c>
      <c r="F91" s="1">
        <v>7484</v>
      </c>
    </row>
    <row r="92" spans="1:7">
      <c r="A92" s="42">
        <v>112</v>
      </c>
      <c r="C92" s="233" t="s">
        <v>46</v>
      </c>
      <c r="D92" s="243"/>
      <c r="E92" s="267">
        <v>1785</v>
      </c>
      <c r="G92" s="1">
        <v>1785</v>
      </c>
    </row>
    <row r="93" spans="1:7">
      <c r="C93" s="233" t="s">
        <v>102</v>
      </c>
      <c r="D93" s="243"/>
      <c r="E93" s="251">
        <v>0</v>
      </c>
      <c r="G93" s="1">
        <v>0</v>
      </c>
    </row>
    <row r="94" spans="1:7">
      <c r="A94" s="42">
        <v>113</v>
      </c>
      <c r="C94" s="238" t="s">
        <v>106</v>
      </c>
      <c r="D94" s="246"/>
      <c r="E94" s="281">
        <v>2759</v>
      </c>
      <c r="F94" s="1">
        <v>2759</v>
      </c>
    </row>
    <row r="95" spans="1:7" s="2" customFormat="1">
      <c r="A95" s="42">
        <v>114</v>
      </c>
      <c r="B95" s="23" t="s">
        <v>47</v>
      </c>
      <c r="C95" s="23"/>
      <c r="D95" s="23"/>
      <c r="E95" s="23">
        <v>51086</v>
      </c>
    </row>
    <row r="96" spans="1:7" ht="6.75" customHeight="1">
      <c r="A96" s="42">
        <v>115</v>
      </c>
    </row>
    <row r="97" spans="1:9" ht="14.25" customHeight="1">
      <c r="A97" s="42">
        <v>116</v>
      </c>
      <c r="B97" s="2" t="s">
        <v>48</v>
      </c>
      <c r="E97" s="25"/>
      <c r="F97" s="383">
        <v>0.33300000000000002</v>
      </c>
      <c r="G97" s="383">
        <v>0.33300000000000002</v>
      </c>
      <c r="H97" s="383">
        <v>0.33400000000000002</v>
      </c>
    </row>
    <row r="98" spans="1:9">
      <c r="C98" s="233" t="s">
        <v>175</v>
      </c>
      <c r="D98" s="243"/>
      <c r="E98" s="259">
        <v>35360</v>
      </c>
      <c r="F98" s="1">
        <v>11774.880000000001</v>
      </c>
      <c r="G98" s="1">
        <v>11774.880000000001</v>
      </c>
      <c r="H98" s="1">
        <v>11810.24</v>
      </c>
    </row>
    <row r="99" spans="1:9">
      <c r="A99" s="42">
        <v>122</v>
      </c>
      <c r="C99" s="233" t="s">
        <v>177</v>
      </c>
      <c r="D99" s="243"/>
      <c r="E99" s="251">
        <v>1000</v>
      </c>
      <c r="F99" s="1">
        <v>333</v>
      </c>
      <c r="G99" s="1">
        <v>333</v>
      </c>
      <c r="H99" s="1">
        <v>334</v>
      </c>
    </row>
    <row r="100" spans="1:9">
      <c r="A100" s="42">
        <v>118</v>
      </c>
      <c r="C100" s="233" t="s">
        <v>50</v>
      </c>
      <c r="D100" s="243"/>
      <c r="E100" s="267">
        <v>33465</v>
      </c>
      <c r="I100" s="1">
        <v>33465</v>
      </c>
    </row>
    <row r="101" spans="1:9">
      <c r="A101" s="42">
        <v>119</v>
      </c>
      <c r="C101" s="233" t="s">
        <v>51</v>
      </c>
      <c r="D101" s="243"/>
      <c r="E101" s="251">
        <v>400</v>
      </c>
      <c r="F101" s="1">
        <v>133.20000000000002</v>
      </c>
      <c r="G101" s="1">
        <v>133.20000000000002</v>
      </c>
      <c r="H101" s="1">
        <v>133.6</v>
      </c>
    </row>
    <row r="102" spans="1:9">
      <c r="A102" s="42">
        <v>120</v>
      </c>
      <c r="C102" s="233" t="s">
        <v>95</v>
      </c>
      <c r="D102" s="243"/>
      <c r="E102" s="251">
        <v>700</v>
      </c>
      <c r="F102" s="1">
        <v>233.10000000000002</v>
      </c>
      <c r="G102" s="1">
        <v>233.10000000000002</v>
      </c>
      <c r="H102" s="1">
        <v>233.8</v>
      </c>
    </row>
    <row r="103" spans="1:9" ht="14" customHeight="1">
      <c r="C103" s="233" t="s">
        <v>111</v>
      </c>
      <c r="D103" s="243"/>
      <c r="E103" s="267">
        <v>925</v>
      </c>
      <c r="F103" s="1">
        <v>925</v>
      </c>
    </row>
    <row r="104" spans="1:9">
      <c r="C104" s="941" t="s">
        <v>176</v>
      </c>
      <c r="D104" s="941"/>
      <c r="E104" s="295">
        <v>11138</v>
      </c>
      <c r="F104" s="1">
        <v>3708.9540000000002</v>
      </c>
      <c r="G104" s="1">
        <v>3708.9540000000002</v>
      </c>
      <c r="H104" s="1">
        <v>3720.0920000000001</v>
      </c>
    </row>
    <row r="105" spans="1:9" ht="14.5" customHeight="1">
      <c r="A105" s="42">
        <v>123</v>
      </c>
      <c r="C105" s="233" t="s">
        <v>52</v>
      </c>
      <c r="D105" s="243"/>
      <c r="E105" s="267">
        <v>14502</v>
      </c>
      <c r="F105" s="1">
        <v>4829.1660000000002</v>
      </c>
      <c r="G105" s="1">
        <v>4829.1660000000002</v>
      </c>
      <c r="H105" s="1">
        <v>4843.6680000000006</v>
      </c>
    </row>
    <row r="106" spans="1:9" ht="14.4" customHeight="1">
      <c r="A106" s="42">
        <v>124</v>
      </c>
      <c r="C106" s="233" t="s">
        <v>53</v>
      </c>
      <c r="D106" s="243"/>
      <c r="E106" s="251">
        <v>3384</v>
      </c>
      <c r="F106" s="1">
        <v>1126.8720000000001</v>
      </c>
      <c r="G106" s="1">
        <v>1126.8720000000001</v>
      </c>
      <c r="H106" s="1">
        <v>1130.2560000000001</v>
      </c>
    </row>
    <row r="107" spans="1:9">
      <c r="A107" s="42">
        <v>125</v>
      </c>
      <c r="C107" s="233" t="s">
        <v>54</v>
      </c>
      <c r="D107" s="243"/>
      <c r="E107" s="53">
        <v>2000</v>
      </c>
      <c r="F107" s="1">
        <v>2000</v>
      </c>
    </row>
    <row r="108" spans="1:9" s="2" customFormat="1">
      <c r="A108" s="42">
        <v>127</v>
      </c>
      <c r="B108" s="23" t="s">
        <v>49</v>
      </c>
      <c r="C108" s="23"/>
      <c r="D108" s="23"/>
      <c r="E108" s="23">
        <v>102874</v>
      </c>
    </row>
    <row r="109" spans="1:9">
      <c r="A109" s="42">
        <v>128</v>
      </c>
      <c r="B109" s="23" t="s">
        <v>55</v>
      </c>
      <c r="C109" s="23"/>
      <c r="D109" s="23"/>
      <c r="E109" s="23">
        <v>326301.38049999997</v>
      </c>
    </row>
    <row r="110" spans="1:9" ht="8.25" customHeight="1">
      <c r="A110" s="42">
        <v>129</v>
      </c>
    </row>
    <row r="111" spans="1:9" ht="18.5">
      <c r="A111" s="42">
        <v>130</v>
      </c>
      <c r="B111" s="6" t="s">
        <v>56</v>
      </c>
    </row>
    <row r="112" spans="1:9">
      <c r="A112" s="42">
        <v>131</v>
      </c>
      <c r="B112" s="2" t="s">
        <v>57</v>
      </c>
    </row>
    <row r="113" spans="1:9" ht="14.4" customHeight="1">
      <c r="A113" s="42">
        <v>132</v>
      </c>
      <c r="C113" s="233" t="s">
        <v>59</v>
      </c>
      <c r="D113" s="243"/>
      <c r="E113" s="253">
        <v>10500</v>
      </c>
      <c r="I113" s="1">
        <v>10500</v>
      </c>
    </row>
    <row r="114" spans="1:9" ht="14.4" customHeight="1">
      <c r="A114" s="42">
        <v>133</v>
      </c>
      <c r="C114" s="233" t="s">
        <v>60</v>
      </c>
      <c r="D114" s="243"/>
      <c r="E114" s="251">
        <v>8160</v>
      </c>
      <c r="I114" s="1">
        <v>8160</v>
      </c>
    </row>
    <row r="115" spans="1:9">
      <c r="A115" s="42">
        <v>134</v>
      </c>
      <c r="C115" s="233" t="s">
        <v>61</v>
      </c>
      <c r="D115" s="243"/>
      <c r="E115" s="230">
        <v>4500</v>
      </c>
      <c r="I115" s="1">
        <v>4500</v>
      </c>
    </row>
    <row r="116" spans="1:9" ht="14.4" customHeight="1">
      <c r="A116" s="42">
        <v>135</v>
      </c>
      <c r="C116" s="233" t="s">
        <v>62</v>
      </c>
      <c r="D116" s="243"/>
      <c r="E116" s="230">
        <v>816</v>
      </c>
      <c r="I116" s="1">
        <v>816</v>
      </c>
    </row>
    <row r="117" spans="1:9" ht="14.4" customHeight="1">
      <c r="A117" s="42">
        <v>136</v>
      </c>
      <c r="C117" s="233" t="s">
        <v>63</v>
      </c>
      <c r="D117" s="243"/>
      <c r="E117" s="251">
        <v>300</v>
      </c>
      <c r="I117" s="1">
        <v>300</v>
      </c>
    </row>
    <row r="118" spans="1:9" ht="14.4" customHeight="1">
      <c r="A118" s="42">
        <v>137</v>
      </c>
      <c r="C118" s="233" t="s">
        <v>64</v>
      </c>
      <c r="D118" s="243"/>
      <c r="E118" s="251">
        <v>600</v>
      </c>
      <c r="I118" s="1">
        <v>600</v>
      </c>
    </row>
    <row r="119" spans="1:9" ht="14.4" customHeight="1">
      <c r="A119" s="42">
        <v>138</v>
      </c>
      <c r="C119" s="233" t="s">
        <v>100</v>
      </c>
      <c r="D119" s="243"/>
      <c r="E119" s="235">
        <v>4500</v>
      </c>
      <c r="I119" s="1">
        <v>4500</v>
      </c>
    </row>
    <row r="120" spans="1:9" s="2" customFormat="1">
      <c r="A120" s="42">
        <v>139</v>
      </c>
      <c r="B120" s="26" t="s">
        <v>65</v>
      </c>
      <c r="C120" s="26"/>
      <c r="D120" s="26"/>
      <c r="E120" s="26">
        <v>29376</v>
      </c>
    </row>
    <row r="121" spans="1:9" s="2" customFormat="1" ht="6.75" customHeight="1">
      <c r="A121" s="42">
        <v>140</v>
      </c>
      <c r="B121" s="14"/>
      <c r="C121" s="14"/>
      <c r="D121" s="14"/>
      <c r="E121" s="14"/>
    </row>
    <row r="122" spans="1:9">
      <c r="A122" s="42">
        <v>141</v>
      </c>
      <c r="B122" s="2" t="s">
        <v>66</v>
      </c>
    </row>
    <row r="123" spans="1:9">
      <c r="A123" s="42">
        <v>142</v>
      </c>
      <c r="C123" s="228" t="s">
        <v>67</v>
      </c>
      <c r="D123" s="240"/>
      <c r="E123" s="253">
        <v>16899.940000000002</v>
      </c>
      <c r="I123" s="1">
        <v>16899.940000000002</v>
      </c>
    </row>
    <row r="124" spans="1:9">
      <c r="A124" s="42">
        <v>143</v>
      </c>
      <c r="C124" s="233" t="s">
        <v>68</v>
      </c>
      <c r="D124" s="243"/>
      <c r="E124" s="230">
        <v>4500</v>
      </c>
      <c r="I124" s="1">
        <v>4500</v>
      </c>
    </row>
    <row r="125" spans="1:9">
      <c r="A125" s="42">
        <v>144</v>
      </c>
      <c r="C125" s="233" t="s">
        <v>93</v>
      </c>
      <c r="D125" s="243"/>
      <c r="E125" s="230">
        <v>4000</v>
      </c>
      <c r="I125" s="1">
        <v>4000</v>
      </c>
    </row>
    <row r="126" spans="1:9">
      <c r="A126" s="42">
        <v>145</v>
      </c>
      <c r="C126" s="941" t="s">
        <v>96</v>
      </c>
      <c r="D126" s="941"/>
      <c r="E126" s="251">
        <v>8000</v>
      </c>
      <c r="I126" s="1">
        <v>8000</v>
      </c>
    </row>
    <row r="127" spans="1:9">
      <c r="A127" s="42">
        <v>146</v>
      </c>
      <c r="C127" s="238" t="s">
        <v>69</v>
      </c>
      <c r="D127" s="246"/>
      <c r="E127" s="235">
        <v>8000</v>
      </c>
      <c r="I127" s="1">
        <v>8000</v>
      </c>
    </row>
    <row r="128" spans="1:9" s="2" customFormat="1">
      <c r="A128" s="42">
        <v>150</v>
      </c>
      <c r="B128" s="26" t="s">
        <v>71</v>
      </c>
      <c r="C128" s="26"/>
      <c r="D128" s="26"/>
      <c r="E128" s="26">
        <v>41399.94</v>
      </c>
    </row>
    <row r="129" spans="1:9">
      <c r="A129" s="42">
        <v>151</v>
      </c>
      <c r="B129" s="26" t="s">
        <v>72</v>
      </c>
      <c r="C129" s="26"/>
      <c r="D129" s="26"/>
      <c r="E129" s="26">
        <v>70775.94</v>
      </c>
    </row>
    <row r="130" spans="1:9" ht="4.5" customHeight="1">
      <c r="A130" s="42">
        <v>152</v>
      </c>
    </row>
    <row r="131" spans="1:9" ht="18.5">
      <c r="A131" s="42">
        <v>153</v>
      </c>
      <c r="B131" s="6" t="s">
        <v>73</v>
      </c>
    </row>
    <row r="132" spans="1:9">
      <c r="A132" s="42">
        <v>154</v>
      </c>
      <c r="B132" s="2" t="s">
        <v>74</v>
      </c>
    </row>
    <row r="133" spans="1:9">
      <c r="A133" s="42">
        <v>156</v>
      </c>
      <c r="C133" s="233" t="s">
        <v>144</v>
      </c>
      <c r="D133" s="243"/>
      <c r="E133" s="251">
        <v>12000</v>
      </c>
    </row>
    <row r="134" spans="1:9">
      <c r="A134" s="42">
        <v>157</v>
      </c>
      <c r="C134" s="233" t="s">
        <v>149</v>
      </c>
      <c r="D134" s="243"/>
      <c r="E134" s="251">
        <v>521</v>
      </c>
    </row>
    <row r="135" spans="1:9" s="2" customFormat="1">
      <c r="A135" s="42">
        <v>159</v>
      </c>
      <c r="B135" s="28" t="s">
        <v>77</v>
      </c>
      <c r="C135" s="28"/>
      <c r="D135" s="28"/>
      <c r="E135" s="28">
        <v>12521</v>
      </c>
    </row>
    <row r="136" spans="1:9" ht="7.5" customHeight="1">
      <c r="A136" s="42">
        <v>160</v>
      </c>
      <c r="D136" s="1"/>
    </row>
    <row r="137" spans="1:9">
      <c r="A137" s="42">
        <v>161</v>
      </c>
      <c r="B137" s="30" t="s">
        <v>78</v>
      </c>
      <c r="C137" s="31"/>
      <c r="D137" s="31"/>
      <c r="E137" s="30">
        <v>513453.32049999997</v>
      </c>
    </row>
    <row r="138" spans="1:9">
      <c r="A138" s="42">
        <v>162</v>
      </c>
      <c r="B138" s="30" t="s">
        <v>79</v>
      </c>
      <c r="C138" s="31"/>
      <c r="D138" s="31"/>
      <c r="E138" s="30">
        <v>-153</v>
      </c>
    </row>
    <row r="139" spans="1:9" ht="15" thickBot="1"/>
    <row r="140" spans="1:9">
      <c r="B140" s="101" t="s">
        <v>159</v>
      </c>
      <c r="C140" s="102"/>
      <c r="D140" s="102"/>
      <c r="E140" s="104">
        <v>513300</v>
      </c>
    </row>
    <row r="141" spans="1:9">
      <c r="B141" s="108" t="s">
        <v>151</v>
      </c>
      <c r="C141" s="96"/>
      <c r="D141" s="96"/>
      <c r="E141" s="98">
        <v>500932.32049999997</v>
      </c>
      <c r="F141" s="388">
        <v>164734.65720000005</v>
      </c>
      <c r="G141" s="388">
        <v>103945.78110000001</v>
      </c>
      <c r="H141" s="388">
        <v>128013.94220000002</v>
      </c>
      <c r="I141" s="388">
        <v>104240.94</v>
      </c>
    </row>
    <row r="142" spans="1:9" ht="15" thickBot="1">
      <c r="B142" s="110" t="s">
        <v>160</v>
      </c>
      <c r="C142" s="111"/>
      <c r="D142" s="111"/>
      <c r="E142" s="114">
        <v>12367.679500000027</v>
      </c>
    </row>
    <row r="146" spans="1:4">
      <c r="D146" s="72"/>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2.xml><?xml version="1.0" encoding="utf-8"?>
<worksheet xmlns="http://schemas.openxmlformats.org/spreadsheetml/2006/main" xmlns:r="http://schemas.openxmlformats.org/officeDocument/2006/relationships">
  <dimension ref="A1:I15"/>
  <sheetViews>
    <sheetView showGridLines="0" workbookViewId="0">
      <selection activeCell="D10" sqref="D10"/>
    </sheetView>
  </sheetViews>
  <sheetFormatPr defaultRowHeight="14.5"/>
  <cols>
    <col min="2" max="2" width="31.36328125" customWidth="1"/>
    <col min="6" max="6" width="10.453125" customWidth="1"/>
  </cols>
  <sheetData>
    <row r="1" spans="1:9" ht="23.5">
      <c r="A1" s="1071" t="s">
        <v>83</v>
      </c>
      <c r="B1" s="1071"/>
      <c r="C1" s="1071"/>
      <c r="D1" s="1071"/>
      <c r="E1" s="1071"/>
      <c r="F1" s="1071"/>
      <c r="G1" s="1071"/>
    </row>
    <row r="4" spans="1:9" ht="29.5" customHeight="1">
      <c r="C4" s="933" t="str">
        <f>Bud_Yr&amp;" Budget"</f>
        <v>2022 Budget</v>
      </c>
      <c r="D4" s="934" t="s">
        <v>408</v>
      </c>
      <c r="E4" s="934" t="str">
        <f>Bud_Yr-1&amp;" Budget"</f>
        <v>2021 Budget</v>
      </c>
      <c r="F4" s="927" t="str">
        <f>Bud_Yr&amp;" Budget vs             "&amp;Bud_Yr-1&amp;" Budget"</f>
        <v>2022 Budget vs             2021 Budget</v>
      </c>
      <c r="G4" s="928"/>
    </row>
    <row r="5" spans="1:9">
      <c r="C5" s="1069"/>
      <c r="D5" s="921"/>
      <c r="E5" s="1070"/>
      <c r="F5" s="543" t="s">
        <v>108</v>
      </c>
      <c r="G5" s="544" t="s">
        <v>109</v>
      </c>
    </row>
    <row r="6" spans="1:9">
      <c r="B6" s="545" t="s">
        <v>323</v>
      </c>
      <c r="C6" s="696">
        <f>+'New Year-Full Year'!P22</f>
        <v>21000</v>
      </c>
      <c r="D6" s="696">
        <f>+E6+1500</f>
        <v>30290</v>
      </c>
      <c r="E6" s="696">
        <f>+'New Year-Full Year'!Q22</f>
        <v>28790</v>
      </c>
      <c r="F6" s="546">
        <f t="shared" ref="F6" si="0">+C6-E6</f>
        <v>-7790</v>
      </c>
      <c r="G6" s="547">
        <f t="shared" ref="G6" si="1">IF(E6=0,"NA",(+C6-E6)/E6)</f>
        <v>-0.27058006252170891</v>
      </c>
      <c r="I6" s="577"/>
    </row>
    <row r="7" spans="1:9">
      <c r="B7" s="548" t="s">
        <v>324</v>
      </c>
      <c r="C7" s="267">
        <f>+'New Year-Full Year'!P23</f>
        <v>0</v>
      </c>
      <c r="D7" s="267">
        <f>+E7</f>
        <v>3000</v>
      </c>
      <c r="E7" s="267">
        <f>+'New Year-Full Year'!Q23</f>
        <v>3000</v>
      </c>
      <c r="F7" s="231">
        <f t="shared" ref="F7" si="2">+C7-E7</f>
        <v>-3000</v>
      </c>
      <c r="G7" s="549">
        <f t="shared" ref="G7" si="3">IF(E7=0,"NA",(+C7-E7)/E7)</f>
        <v>-1</v>
      </c>
    </row>
    <row r="8" spans="1:9">
      <c r="B8" s="548" t="s">
        <v>325</v>
      </c>
      <c r="C8" s="267">
        <f>+'New Year-Full Year'!P24</f>
        <v>500</v>
      </c>
      <c r="D8" s="267">
        <f>+E8+1000</f>
        <v>2000</v>
      </c>
      <c r="E8" s="267">
        <f>+'New Year-Full Year'!Q24</f>
        <v>1000</v>
      </c>
      <c r="F8" s="231">
        <f t="shared" ref="F8:F14" si="4">+C8-E8</f>
        <v>-500</v>
      </c>
      <c r="G8" s="549">
        <f t="shared" ref="G8:G14" si="5">IF(E8=0,"NA",(+C8-E8)/E8)</f>
        <v>-0.5</v>
      </c>
    </row>
    <row r="9" spans="1:9">
      <c r="B9" s="548" t="s">
        <v>332</v>
      </c>
      <c r="C9" s="267">
        <f>+'New Year-Full Year'!P25</f>
        <v>1500</v>
      </c>
      <c r="D9" s="267">
        <f>+E9+1000</f>
        <v>3000</v>
      </c>
      <c r="E9" s="267">
        <f>+'New Year-Full Year'!Q25</f>
        <v>2000</v>
      </c>
      <c r="F9" s="231">
        <f t="shared" si="4"/>
        <v>-500</v>
      </c>
      <c r="G9" s="549">
        <f t="shared" si="5"/>
        <v>-0.25</v>
      </c>
    </row>
    <row r="10" spans="1:9">
      <c r="B10" s="548" t="s">
        <v>326</v>
      </c>
      <c r="C10" s="267">
        <f>+'New Year-Full Year'!P26</f>
        <v>750</v>
      </c>
      <c r="D10" s="267">
        <f>+E10</f>
        <v>750</v>
      </c>
      <c r="E10" s="267">
        <f>+'New Year-Full Year'!Q26</f>
        <v>750</v>
      </c>
      <c r="F10" s="231">
        <f t="shared" si="4"/>
        <v>0</v>
      </c>
      <c r="G10" s="549">
        <f t="shared" si="5"/>
        <v>0</v>
      </c>
    </row>
    <row r="11" spans="1:9">
      <c r="B11" s="548" t="s">
        <v>327</v>
      </c>
      <c r="C11" s="267">
        <f>+'New Year-Full Year'!P27</f>
        <v>1000</v>
      </c>
      <c r="D11" s="267">
        <f>+E11+1000</f>
        <v>2000</v>
      </c>
      <c r="E11" s="267">
        <f>+'New Year-Full Year'!Q27</f>
        <v>1000</v>
      </c>
      <c r="F11" s="231">
        <f t="shared" si="4"/>
        <v>0</v>
      </c>
      <c r="G11" s="549">
        <f t="shared" si="5"/>
        <v>0</v>
      </c>
    </row>
    <row r="12" spans="1:9">
      <c r="B12" s="548" t="s">
        <v>328</v>
      </c>
      <c r="C12" s="267">
        <f>+'New Year-Full Year'!P28</f>
        <v>1000</v>
      </c>
      <c r="D12" s="267">
        <f>+E12+500</f>
        <v>2000</v>
      </c>
      <c r="E12" s="267">
        <f>+'New Year-Full Year'!Q28</f>
        <v>1500</v>
      </c>
      <c r="F12" s="231">
        <f t="shared" si="4"/>
        <v>-500</v>
      </c>
      <c r="G12" s="549">
        <f t="shared" si="5"/>
        <v>-0.33333333333333331</v>
      </c>
    </row>
    <row r="13" spans="1:9">
      <c r="B13" s="548" t="s">
        <v>329</v>
      </c>
      <c r="C13" s="267">
        <f>+'New Year-Full Year'!P29</f>
        <v>1000</v>
      </c>
      <c r="D13" s="267">
        <f>+E13+1000</f>
        <v>2500</v>
      </c>
      <c r="E13" s="267">
        <f>+'New Year-Full Year'!Q29</f>
        <v>1500</v>
      </c>
      <c r="F13" s="231">
        <f t="shared" si="4"/>
        <v>-500</v>
      </c>
      <c r="G13" s="549">
        <f t="shared" si="5"/>
        <v>-0.33333333333333331</v>
      </c>
    </row>
    <row r="14" spans="1:9">
      <c r="B14" s="548" t="s">
        <v>330</v>
      </c>
      <c r="C14" s="267">
        <f>+'New Year-Full Year'!P30</f>
        <v>1000</v>
      </c>
      <c r="D14" s="267">
        <f>+E14+500</f>
        <v>1000</v>
      </c>
      <c r="E14" s="267">
        <f>+'New Year-Full Year'!Q30</f>
        <v>500</v>
      </c>
      <c r="F14" s="231">
        <f t="shared" si="4"/>
        <v>500</v>
      </c>
      <c r="G14" s="549">
        <f t="shared" si="5"/>
        <v>1</v>
      </c>
    </row>
    <row r="15" spans="1:9">
      <c r="B15" s="550" t="s">
        <v>162</v>
      </c>
      <c r="C15" s="699">
        <f>+SUM(C6:C14)</f>
        <v>27750</v>
      </c>
      <c r="D15" s="699">
        <f>+SUM(D6:D14)</f>
        <v>46540</v>
      </c>
      <c r="E15" s="699">
        <f>+SUM(E6:E14)</f>
        <v>40040</v>
      </c>
      <c r="F15" s="551">
        <f>+SUM(F6:F14)</f>
        <v>-12290</v>
      </c>
      <c r="G15" s="552"/>
    </row>
  </sheetData>
  <mergeCells count="5">
    <mergeCell ref="C4:C5"/>
    <mergeCell ref="E4:E5"/>
    <mergeCell ref="F4:G4"/>
    <mergeCell ref="A1:G1"/>
    <mergeCell ref="D4:D5"/>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rgb="FFFF0000"/>
    <pageSetUpPr fitToPage="1"/>
  </sheetPr>
  <dimension ref="A1:K14"/>
  <sheetViews>
    <sheetView showGridLines="0" workbookViewId="0">
      <selection activeCell="M5" sqref="M5"/>
    </sheetView>
  </sheetViews>
  <sheetFormatPr defaultRowHeight="21"/>
  <cols>
    <col min="1" max="1" width="4.36328125" style="648" customWidth="1"/>
    <col min="2" max="2" width="39.6328125" style="648" customWidth="1"/>
    <col min="3" max="3" width="15" style="648" hidden="1" customWidth="1"/>
    <col min="4" max="4" width="1.453125" style="675" customWidth="1"/>
    <col min="5" max="6" width="16" style="648" customWidth="1"/>
    <col min="7" max="7" width="1.453125" style="648" customWidth="1"/>
    <col min="8" max="8" width="16.08984375" style="648" customWidth="1"/>
    <col min="9" max="9" width="1.453125" style="648" customWidth="1"/>
    <col min="10" max="10" width="16.08984375" style="648" customWidth="1"/>
    <col min="11" max="16384" width="8.7265625" style="648"/>
  </cols>
  <sheetData>
    <row r="1" spans="1:11" ht="26">
      <c r="B1" s="1074" t="s">
        <v>83</v>
      </c>
      <c r="C1" s="1074"/>
      <c r="D1" s="1074"/>
      <c r="E1" s="1074"/>
      <c r="F1" s="1074"/>
      <c r="G1" s="1074"/>
      <c r="H1" s="1074"/>
      <c r="I1" s="1074"/>
      <c r="J1" s="1074"/>
    </row>
    <row r="2" spans="1:11">
      <c r="D2" s="677"/>
    </row>
    <row r="3" spans="1:11">
      <c r="D3" s="679"/>
      <c r="E3" s="1072">
        <v>2020</v>
      </c>
      <c r="F3" s="1073"/>
      <c r="G3" s="686"/>
      <c r="H3" s="666">
        <v>2021</v>
      </c>
      <c r="I3" s="690"/>
      <c r="J3" s="680"/>
    </row>
    <row r="4" spans="1:11" ht="53" customHeight="1">
      <c r="B4" s="660"/>
      <c r="C4" s="655" t="s">
        <v>405</v>
      </c>
      <c r="D4" s="682"/>
      <c r="E4" s="655" t="s">
        <v>388</v>
      </c>
      <c r="F4" s="655" t="s">
        <v>402</v>
      </c>
      <c r="G4" s="687"/>
      <c r="H4" s="655" t="s">
        <v>403</v>
      </c>
      <c r="I4" s="691"/>
      <c r="J4" s="655" t="s">
        <v>404</v>
      </c>
      <c r="K4" s="660"/>
    </row>
    <row r="5" spans="1:11">
      <c r="B5" s="660" t="s">
        <v>397</v>
      </c>
      <c r="C5" s="676"/>
      <c r="D5" s="672"/>
      <c r="E5" s="653">
        <v>56200</v>
      </c>
      <c r="F5" s="653">
        <f>+'Summary New Year'!J111</f>
        <v>113668.58000000002</v>
      </c>
      <c r="G5" s="658"/>
      <c r="H5" s="653">
        <f>+'New Year-Full Year'!P171</f>
        <v>-23257</v>
      </c>
      <c r="I5" s="669"/>
      <c r="J5" s="671"/>
      <c r="K5" s="660"/>
    </row>
    <row r="6" spans="1:11">
      <c r="B6" s="660" t="s">
        <v>396</v>
      </c>
      <c r="C6" s="677"/>
      <c r="D6" s="672"/>
      <c r="E6" s="651">
        <v>5000</v>
      </c>
      <c r="F6" s="651"/>
      <c r="G6" s="658"/>
      <c r="H6" s="670"/>
      <c r="I6" s="669"/>
      <c r="J6" s="672"/>
      <c r="K6" s="660"/>
    </row>
    <row r="7" spans="1:11">
      <c r="B7" s="681" t="s">
        <v>399</v>
      </c>
      <c r="C7" s="678"/>
      <c r="D7" s="673"/>
      <c r="E7" s="656">
        <f>+E5-E6</f>
        <v>51200</v>
      </c>
      <c r="F7" s="656">
        <f>+F5-F6</f>
        <v>113668.58000000002</v>
      </c>
      <c r="G7" s="668"/>
      <c r="H7" s="656">
        <f>+H5-H6</f>
        <v>-23257</v>
      </c>
      <c r="I7" s="673"/>
      <c r="J7" s="673"/>
      <c r="K7" s="660"/>
    </row>
    <row r="8" spans="1:11">
      <c r="B8" s="660"/>
      <c r="D8" s="677"/>
      <c r="G8" s="660"/>
      <c r="I8" s="660"/>
      <c r="K8" s="660"/>
    </row>
    <row r="9" spans="1:11">
      <c r="B9" s="681" t="s">
        <v>389</v>
      </c>
      <c r="D9" s="677"/>
      <c r="G9" s="660"/>
      <c r="I9" s="660"/>
      <c r="K9" s="660"/>
    </row>
    <row r="10" spans="1:11">
      <c r="A10" s="649" t="s">
        <v>390</v>
      </c>
      <c r="B10" s="660" t="s">
        <v>401</v>
      </c>
      <c r="C10" s="653">
        <v>13765.63</v>
      </c>
      <c r="D10" s="683"/>
      <c r="E10" s="652"/>
      <c r="F10" s="657">
        <v>20000</v>
      </c>
      <c r="G10" s="667"/>
      <c r="H10" s="653"/>
      <c r="I10" s="672"/>
      <c r="J10" s="693">
        <f>SUM(C10:H10)</f>
        <v>33765.629999999997</v>
      </c>
      <c r="K10" s="660"/>
    </row>
    <row r="11" spans="1:11">
      <c r="A11" s="649" t="s">
        <v>391</v>
      </c>
      <c r="B11" s="660" t="s">
        <v>394</v>
      </c>
      <c r="C11" s="670">
        <v>29502.66</v>
      </c>
      <c r="D11" s="683"/>
      <c r="E11" s="663">
        <f>+$E$7/2</f>
        <v>25600</v>
      </c>
      <c r="F11" s="659">
        <v>10000</v>
      </c>
      <c r="G11" s="667"/>
      <c r="H11" s="670">
        <f>+'New Year-Full Year'!P158</f>
        <v>-23257</v>
      </c>
      <c r="I11" s="672"/>
      <c r="J11" s="663">
        <f t="shared" ref="J11:J13" si="0">SUM(C11:H11)</f>
        <v>41845.660000000003</v>
      </c>
      <c r="K11" s="660"/>
    </row>
    <row r="12" spans="1:11">
      <c r="A12" s="649" t="s">
        <v>392</v>
      </c>
      <c r="B12" s="660" t="s">
        <v>400</v>
      </c>
      <c r="C12" s="670">
        <v>168816.55</v>
      </c>
      <c r="D12" s="684"/>
      <c r="E12" s="664"/>
      <c r="F12" s="661">
        <f>+F7-F10-F11</f>
        <v>83668.580000000016</v>
      </c>
      <c r="G12" s="688"/>
      <c r="H12" s="674"/>
      <c r="I12" s="692"/>
      <c r="J12" s="674">
        <f t="shared" si="0"/>
        <v>252485.13</v>
      </c>
      <c r="K12" s="660"/>
    </row>
    <row r="13" spans="1:11">
      <c r="A13" s="649" t="s">
        <v>393</v>
      </c>
      <c r="B13" s="660" t="s">
        <v>395</v>
      </c>
      <c r="C13" s="651">
        <v>29502.66</v>
      </c>
      <c r="D13" s="654"/>
      <c r="E13" s="665">
        <f>+$E$7/2</f>
        <v>25600</v>
      </c>
      <c r="F13" s="662"/>
      <c r="G13" s="689"/>
      <c r="H13" s="650"/>
      <c r="I13" s="677"/>
      <c r="J13" s="665">
        <f t="shared" si="0"/>
        <v>55102.66</v>
      </c>
      <c r="K13" s="660"/>
    </row>
    <row r="14" spans="1:11">
      <c r="B14" s="681" t="s">
        <v>398</v>
      </c>
      <c r="C14" s="656">
        <f>SUM(C10:C13)</f>
        <v>241587.5</v>
      </c>
      <c r="D14" s="685"/>
      <c r="E14" s="656">
        <f>SUM(E10:E13)</f>
        <v>51200</v>
      </c>
      <c r="F14" s="656">
        <f>SUM(F10:F13)</f>
        <v>113668.58000000002</v>
      </c>
      <c r="G14" s="668"/>
      <c r="H14" s="656">
        <f>SUM(H10:H13)</f>
        <v>-23257</v>
      </c>
      <c r="I14" s="673"/>
      <c r="J14" s="656">
        <f>SUM(J10:J13)</f>
        <v>383199.08000000007</v>
      </c>
      <c r="K14" s="660"/>
    </row>
  </sheetData>
  <mergeCells count="2">
    <mergeCell ref="E3:F3"/>
    <mergeCell ref="B1:J1"/>
  </mergeCells>
  <pageMargins left="0.7" right="0.7" top="0.75" bottom="0.75" header="0.3" footer="0.3"/>
  <pageSetup orientation="landscape" horizontalDpi="0" verticalDpi="0" r:id="rId1"/>
  <legacyDrawing r:id="rId2"/>
</worksheet>
</file>

<file path=xl/worksheets/sheet14.xml><?xml version="1.0" encoding="utf-8"?>
<worksheet xmlns="http://schemas.openxmlformats.org/spreadsheetml/2006/main" xmlns:r="http://schemas.openxmlformats.org/officeDocument/2006/relationships">
  <dimension ref="A1:C7"/>
  <sheetViews>
    <sheetView showGridLines="0" workbookViewId="0">
      <selection activeCell="B8" sqref="B8"/>
    </sheetView>
  </sheetViews>
  <sheetFormatPr defaultRowHeight="21"/>
  <cols>
    <col min="1" max="1" width="5.7265625" style="642" customWidth="1"/>
    <col min="2" max="2" width="15.7265625" style="642" customWidth="1"/>
    <col min="3" max="3" width="100.453125" style="642" customWidth="1"/>
    <col min="4" max="16384" width="8.7265625" style="642"/>
  </cols>
  <sheetData>
    <row r="1" spans="1:3" ht="26">
      <c r="A1" s="1075" t="s">
        <v>371</v>
      </c>
      <c r="B1" s="1075"/>
      <c r="C1" s="1075"/>
    </row>
    <row r="3" spans="1:3" ht="42" customHeight="1">
      <c r="A3" s="643" t="s">
        <v>372</v>
      </c>
      <c r="B3" s="645">
        <v>3000</v>
      </c>
      <c r="C3" s="644" t="s">
        <v>383</v>
      </c>
    </row>
    <row r="4" spans="1:3" ht="42" customHeight="1">
      <c r="A4" s="643" t="s">
        <v>373</v>
      </c>
      <c r="B4" s="645">
        <v>4000</v>
      </c>
      <c r="C4" s="644" t="s">
        <v>375</v>
      </c>
    </row>
    <row r="5" spans="1:3" ht="42" customHeight="1">
      <c r="A5" s="643" t="s">
        <v>374</v>
      </c>
      <c r="B5" s="645">
        <v>2759</v>
      </c>
      <c r="C5" s="644" t="s">
        <v>379</v>
      </c>
    </row>
    <row r="6" spans="1:3" ht="42" customHeight="1">
      <c r="A6" s="643" t="s">
        <v>377</v>
      </c>
      <c r="B6" s="645">
        <v>8000</v>
      </c>
      <c r="C6" s="644" t="s">
        <v>376</v>
      </c>
    </row>
    <row r="7" spans="1:3" ht="42" customHeight="1">
      <c r="A7" s="643" t="s">
        <v>378</v>
      </c>
      <c r="B7" s="645">
        <v>8185</v>
      </c>
      <c r="C7" s="644" t="s">
        <v>380</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sheetPr>
    <tabColor rgb="FFFF0000"/>
    <pageSetUpPr fitToPage="1"/>
  </sheetPr>
  <dimension ref="A1:M112"/>
  <sheetViews>
    <sheetView showGridLines="0" topLeftCell="B1" workbookViewId="0">
      <selection activeCell="B1" sqref="B1:L1"/>
    </sheetView>
  </sheetViews>
  <sheetFormatPr defaultColWidth="9.08984375" defaultRowHeight="14.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c r="B1" s="897" t="s">
        <v>83</v>
      </c>
      <c r="C1" s="897"/>
      <c r="D1" s="897"/>
      <c r="E1" s="897"/>
      <c r="F1" s="897"/>
      <c r="G1" s="897"/>
      <c r="H1" s="897"/>
      <c r="I1" s="897"/>
      <c r="J1" s="897"/>
      <c r="K1" s="897"/>
      <c r="L1" s="897"/>
    </row>
    <row r="2" spans="1:12" ht="8.25" customHeight="1">
      <c r="B2" s="898"/>
      <c r="C2" s="898"/>
      <c r="D2" s="898"/>
      <c r="E2" s="898"/>
      <c r="F2" s="898"/>
      <c r="G2" s="898"/>
      <c r="H2" s="898"/>
      <c r="I2" s="898"/>
      <c r="J2" s="898"/>
      <c r="K2" s="898"/>
      <c r="L2" s="898"/>
    </row>
    <row r="3" spans="1:12" ht="18" customHeight="1">
      <c r="E3" s="902" t="s">
        <v>82</v>
      </c>
      <c r="F3" s="903"/>
      <c r="G3" s="903"/>
      <c r="H3" s="904"/>
      <c r="J3" s="899" t="str">
        <f>+'New Year-Full Year'!U2</f>
        <v>2021 Year to Date (YTD)</v>
      </c>
      <c r="K3" s="900"/>
      <c r="L3" s="901"/>
    </row>
    <row r="4" spans="1:12" ht="22.5" customHeight="1">
      <c r="E4" s="910" t="str">
        <f>+'New Year-Full Year'!P3</f>
        <v>2022 Budget</v>
      </c>
      <c r="F4" s="908" t="str">
        <f>+'New Year-Full Year'!Q3</f>
        <v>2021 Budget</v>
      </c>
      <c r="G4" s="906" t="str">
        <f>Bud_Yr&amp;" Budget vs "&amp;Bud_Yr-1&amp;" Budget"</f>
        <v>2022 Budget vs 2021 Budget</v>
      </c>
      <c r="H4" s="907"/>
      <c r="J4" s="910" t="str">
        <f>+'New Year-Full Year'!U3</f>
        <v>Oct 2021 YTD Actual</v>
      </c>
      <c r="K4" s="908" t="str">
        <f>+'New Year-Full Year'!V3</f>
        <v>Oct 2021 YTD Budget</v>
      </c>
      <c r="L4" s="912" t="s">
        <v>81</v>
      </c>
    </row>
    <row r="5" spans="1:12" s="2" customFormat="1">
      <c r="A5" s="43"/>
      <c r="E5" s="911"/>
      <c r="F5" s="909"/>
      <c r="G5" s="542" t="s">
        <v>108</v>
      </c>
      <c r="H5" s="50" t="s">
        <v>109</v>
      </c>
      <c r="J5" s="911"/>
      <c r="K5" s="909"/>
      <c r="L5" s="913"/>
    </row>
    <row r="6" spans="1:12" s="2" customFormat="1" ht="19.5" customHeight="1">
      <c r="A6" s="43"/>
      <c r="B6" s="6" t="s">
        <v>0</v>
      </c>
      <c r="E6" s="7"/>
      <c r="F6" s="39"/>
      <c r="G6" s="39"/>
      <c r="H6" s="39"/>
      <c r="J6" s="39"/>
      <c r="K6" s="39"/>
      <c r="L6" s="39"/>
    </row>
    <row r="7" spans="1:12" ht="19.5" customHeight="1">
      <c r="A7" s="42">
        <v>1</v>
      </c>
      <c r="B7" s="882" t="str">
        <f>+'New Year-Full Year'!B6</f>
        <v>Envelope Giving</v>
      </c>
    </row>
    <row r="8" spans="1:12">
      <c r="A8" s="42">
        <v>2</v>
      </c>
      <c r="C8" s="1" t="str">
        <f>+'New Year-Full Year'!C7</f>
        <v>Envelope Giving</v>
      </c>
      <c r="E8" s="37">
        <f>+'New Year-Full Year'!P7</f>
        <v>445000</v>
      </c>
      <c r="F8" s="37">
        <f>+'New Year-Full Year'!Q7</f>
        <v>477000</v>
      </c>
      <c r="G8" s="37">
        <f>+E8-F8</f>
        <v>-32000</v>
      </c>
      <c r="H8" s="3">
        <f t="shared" ref="H8:H13" si="0">IF(F8=0,"NA",(+E8-F8)/F8)</f>
        <v>-6.7085953878406712E-2</v>
      </c>
      <c r="J8" s="37">
        <f>+'New Year-Full Year'!U7</f>
        <v>387236.64</v>
      </c>
      <c r="K8" s="37">
        <f>+'New Year-Full Year'!V7</f>
        <v>399178.07</v>
      </c>
      <c r="L8" s="3">
        <f t="shared" ref="L8:L13" si="1">IF(K8=0,"NA",(+J8-K8)/K8)</f>
        <v>-2.9915045182717561E-2</v>
      </c>
    </row>
    <row r="9" spans="1:12">
      <c r="A9" s="42">
        <v>4</v>
      </c>
      <c r="C9" s="1" t="str">
        <f>+'New Year-Full Year'!C9</f>
        <v>Easter Offerings</v>
      </c>
      <c r="E9" s="37">
        <f>+'New Year-Full Year'!P9</f>
        <v>2000</v>
      </c>
      <c r="F9" s="37">
        <f>+'New Year-Full Year'!Q9</f>
        <v>3500</v>
      </c>
      <c r="G9" s="37">
        <f t="shared" ref="G9:G12" si="2">+E9-F9</f>
        <v>-1500</v>
      </c>
      <c r="H9" s="3">
        <f t="shared" si="0"/>
        <v>-0.42857142857142855</v>
      </c>
      <c r="J9" s="37">
        <f>+'New Year-Full Year'!U9</f>
        <v>2910</v>
      </c>
      <c r="K9" s="37">
        <f>+'New Year-Full Year'!V9</f>
        <v>3500</v>
      </c>
      <c r="L9" s="3">
        <f t="shared" si="1"/>
        <v>-0.16857142857142857</v>
      </c>
    </row>
    <row r="10" spans="1:12">
      <c r="A10" s="42">
        <v>5</v>
      </c>
      <c r="C10" s="1" t="str">
        <f>+'New Year-Full Year'!C10</f>
        <v>Thanksgiving Offerings</v>
      </c>
      <c r="E10" s="37">
        <f>+'New Year-Full Year'!P10</f>
        <v>500</v>
      </c>
      <c r="F10" s="37">
        <f>+'New Year-Full Year'!Q10</f>
        <v>1000</v>
      </c>
      <c r="G10" s="37">
        <f t="shared" si="2"/>
        <v>-500</v>
      </c>
      <c r="H10" s="3">
        <f t="shared" si="0"/>
        <v>-0.5</v>
      </c>
      <c r="J10" s="37">
        <f>+'New Year-Full Year'!U10</f>
        <v>25</v>
      </c>
      <c r="K10" s="37">
        <f>+'New Year-Full Year'!V10</f>
        <v>0</v>
      </c>
      <c r="L10" s="3" t="str">
        <f t="shared" si="1"/>
        <v>NA</v>
      </c>
    </row>
    <row r="11" spans="1:12">
      <c r="A11" s="42">
        <v>6</v>
      </c>
      <c r="C11" s="1" t="str">
        <f>+'New Year-Full Year'!C11</f>
        <v>Christmas Offerings</v>
      </c>
      <c r="E11" s="37">
        <f>+'New Year-Full Year'!P11</f>
        <v>5000</v>
      </c>
      <c r="F11" s="37">
        <f>+'New Year-Full Year'!Q11</f>
        <v>5000</v>
      </c>
      <c r="G11" s="37">
        <f t="shared" si="2"/>
        <v>0</v>
      </c>
      <c r="H11" s="3">
        <f t="shared" si="0"/>
        <v>0</v>
      </c>
      <c r="J11" s="37">
        <f>+'New Year-Full Year'!U11</f>
        <v>25</v>
      </c>
      <c r="K11" s="37">
        <f>+'New Year-Full Year'!V11</f>
        <v>0</v>
      </c>
      <c r="L11" s="3" t="str">
        <f t="shared" si="1"/>
        <v>NA</v>
      </c>
    </row>
    <row r="12" spans="1:12">
      <c r="A12" s="42">
        <v>7</v>
      </c>
      <c r="C12" s="1" t="str">
        <f>+'New Year-Full Year'!C12</f>
        <v>Lenten Offerings</v>
      </c>
      <c r="E12" s="37">
        <f>+'New Year-Full Year'!P12</f>
        <v>1500</v>
      </c>
      <c r="F12" s="37">
        <f>+'New Year-Full Year'!Q12</f>
        <v>3000</v>
      </c>
      <c r="G12" s="37">
        <f t="shared" si="2"/>
        <v>-1500</v>
      </c>
      <c r="H12" s="3">
        <f t="shared" si="0"/>
        <v>-0.5</v>
      </c>
      <c r="J12" s="37">
        <f>+'New Year-Full Year'!U12</f>
        <v>817</v>
      </c>
      <c r="K12" s="37">
        <f>+'New Year-Full Year'!V12</f>
        <v>3000</v>
      </c>
      <c r="L12" s="3">
        <f t="shared" si="1"/>
        <v>-0.72766666666666668</v>
      </c>
    </row>
    <row r="13" spans="1:12">
      <c r="A13" s="42">
        <v>8</v>
      </c>
      <c r="B13" s="9" t="str">
        <f>+'New Year-Full Year'!B13</f>
        <v>Total Envelope Giving</v>
      </c>
      <c r="C13" s="9"/>
      <c r="D13" s="9"/>
      <c r="E13" s="9">
        <f>SUM(E8:E12)</f>
        <v>454000</v>
      </c>
      <c r="F13" s="9">
        <f>SUM(F8:F12)</f>
        <v>489500</v>
      </c>
      <c r="G13" s="9">
        <f>SUM(G8:G12)</f>
        <v>-35500</v>
      </c>
      <c r="H13" s="10">
        <f t="shared" si="0"/>
        <v>-7.2522982635342181E-2</v>
      </c>
      <c r="J13" s="9">
        <f>SUM(J8:J12)</f>
        <v>391013.64</v>
      </c>
      <c r="K13" s="9">
        <f>SUM(K8:K12)</f>
        <v>405678.07</v>
      </c>
      <c r="L13" s="10">
        <f t="shared" si="1"/>
        <v>-3.6147948544519533E-2</v>
      </c>
    </row>
    <row r="14" spans="1:12" ht="19.5" customHeight="1">
      <c r="A14" s="42">
        <v>10</v>
      </c>
      <c r="B14" s="882" t="s">
        <v>7</v>
      </c>
      <c r="H14" s="38"/>
    </row>
    <row r="15" spans="1:12">
      <c r="A15" s="42">
        <v>11</v>
      </c>
      <c r="C15" s="1" t="str">
        <f>+'New Year-Full Year'!C15</f>
        <v>Loose Offerings &amp; Misc.</v>
      </c>
      <c r="E15" s="37">
        <f>+'New Year-Full Year'!P15</f>
        <v>4000</v>
      </c>
      <c r="F15" s="37">
        <f>+'New Year-Full Year'!Q15</f>
        <v>9000</v>
      </c>
      <c r="G15" s="37">
        <f t="shared" ref="G15:G16" si="3">+E15-F15</f>
        <v>-5000</v>
      </c>
      <c r="H15" s="3">
        <f t="shared" ref="H15:H18" si="4">IF(F15=0,"NA",(+E15-F15)/F15)</f>
        <v>-0.55555555555555558</v>
      </c>
      <c r="J15" s="37">
        <f>+'New Year-Full Year'!U15</f>
        <v>59511.68</v>
      </c>
      <c r="K15" s="37">
        <f>+'New Year-Full Year'!V15</f>
        <v>7500</v>
      </c>
      <c r="L15" s="3">
        <f t="shared" ref="L15:L18" si="5">IF(K15=0,"NA",(+J15-K15)/K15)</f>
        <v>6.934890666666667</v>
      </c>
    </row>
    <row r="16" spans="1:12">
      <c r="A16" s="42">
        <v>14</v>
      </c>
      <c r="C16" s="1" t="str">
        <f>+'New Year-Full Year'!C16</f>
        <v>Current Investment Income</v>
      </c>
      <c r="E16" s="37">
        <f>+'New Year-Full Year'!P16</f>
        <v>0</v>
      </c>
      <c r="F16" s="37">
        <f>+'New Year-Full Year'!Q16</f>
        <v>0</v>
      </c>
      <c r="G16" s="37">
        <f t="shared" si="3"/>
        <v>0</v>
      </c>
      <c r="H16" s="3" t="str">
        <f t="shared" si="4"/>
        <v>NA</v>
      </c>
      <c r="J16" s="37">
        <f>+'New Year-Full Year'!U16</f>
        <v>0.63</v>
      </c>
      <c r="K16" s="37">
        <f>+'New Year-Full Year'!V16</f>
        <v>0</v>
      </c>
      <c r="L16" s="3" t="str">
        <f t="shared" si="5"/>
        <v>NA</v>
      </c>
    </row>
    <row r="17" spans="1:12" hidden="1">
      <c r="A17" s="42">
        <v>15</v>
      </c>
      <c r="C17" s="1" t="str">
        <f>+'New Year-Full Year'!C17</f>
        <v>Clearing Account</v>
      </c>
      <c r="E17" s="37">
        <f>+'New Year-Full Year'!P17</f>
        <v>0</v>
      </c>
      <c r="F17" s="37">
        <f>+'New Year-Full Year'!Q17</f>
        <v>0</v>
      </c>
      <c r="G17" s="37"/>
      <c r="H17" s="3" t="str">
        <f t="shared" si="4"/>
        <v>NA</v>
      </c>
      <c r="J17" s="37">
        <f>+'New Year-Full Year'!U17</f>
        <v>0</v>
      </c>
      <c r="K17" s="37">
        <f>+'New Year-Full Year'!V17</f>
        <v>0</v>
      </c>
      <c r="L17" s="3" t="str">
        <f t="shared" si="5"/>
        <v>NA</v>
      </c>
    </row>
    <row r="18" spans="1:12">
      <c r="A18" s="42">
        <v>16</v>
      </c>
      <c r="B18" s="9" t="str">
        <f>+'New Year-Full Year'!B18</f>
        <v>Total Misc Income</v>
      </c>
      <c r="C18" s="9"/>
      <c r="D18" s="9"/>
      <c r="E18" s="9">
        <f>SUM(E15:E17)</f>
        <v>4000</v>
      </c>
      <c r="F18" s="9">
        <f>SUM(F15:F17)</f>
        <v>9000</v>
      </c>
      <c r="G18" s="9">
        <f>SUM(G15:G17)</f>
        <v>-5000</v>
      </c>
      <c r="H18" s="10">
        <f t="shared" si="4"/>
        <v>-0.55555555555555558</v>
      </c>
      <c r="J18" s="9">
        <f>SUM(J15:J17)</f>
        <v>59512.31</v>
      </c>
      <c r="K18" s="9">
        <f>SUM(K15:K17)</f>
        <v>7500</v>
      </c>
      <c r="L18" s="10">
        <f t="shared" si="5"/>
        <v>6.9349746666666663</v>
      </c>
    </row>
    <row r="19" spans="1:12">
      <c r="B19" s="9" t="str">
        <f>+'New Year-Full Year'!B19</f>
        <v>TOTAL INCOME</v>
      </c>
      <c r="C19" s="9"/>
      <c r="D19" s="9"/>
      <c r="E19" s="9">
        <f>+E13+E18</f>
        <v>458000</v>
      </c>
      <c r="F19" s="9">
        <f>+F13+F18</f>
        <v>498500</v>
      </c>
      <c r="G19" s="9">
        <f>+G13+G18</f>
        <v>-40500</v>
      </c>
      <c r="H19" s="10">
        <f t="shared" ref="H19" si="6">IF(F19=0,"NA",(+E19-F19)/F19)</f>
        <v>-8.1243731193580748E-2</v>
      </c>
      <c r="J19" s="9">
        <f>+J13+J18</f>
        <v>450525.95</v>
      </c>
      <c r="K19" s="9">
        <f>+K13+K18</f>
        <v>413178.07</v>
      </c>
      <c r="L19" s="10">
        <f t="shared" ref="L19" si="7">IF(K19=0,"NA",(+J19-K19)/K19)</f>
        <v>9.039172868008219E-2</v>
      </c>
    </row>
    <row r="20" spans="1:12" ht="23" customHeight="1">
      <c r="A20" s="42">
        <v>19</v>
      </c>
      <c r="B20" s="6" t="str">
        <f>+'New Year-Full Year'!B20</f>
        <v>Expenses</v>
      </c>
      <c r="H20" s="38"/>
    </row>
    <row r="21" spans="1:12" ht="19.5" customHeight="1">
      <c r="A21" s="6" t="s">
        <v>88</v>
      </c>
      <c r="B21" s="6" t="str">
        <f>+'New Year-Full Year'!B21</f>
        <v>Benevolence</v>
      </c>
      <c r="C21" s="49"/>
      <c r="H21" s="38"/>
    </row>
    <row r="22" spans="1:12" ht="14.5" customHeight="1">
      <c r="A22" s="6"/>
      <c r="B22" s="1"/>
      <c r="C22" s="393" t="str">
        <f>+'New Year-Full Year'!C22</f>
        <v xml:space="preserve">Greater Milwaukee Synod </v>
      </c>
      <c r="E22" s="37">
        <f>+'New Year-Full Year'!P22</f>
        <v>21000</v>
      </c>
      <c r="F22" s="37">
        <f>+'New Year-Full Year'!Q22</f>
        <v>28790</v>
      </c>
      <c r="G22" s="37">
        <f t="shared" ref="G22" si="8">+E22-F22</f>
        <v>-7790</v>
      </c>
      <c r="H22" s="3">
        <f t="shared" ref="H22" si="9">IF(F22=0,"NA",(+E22-F22)/F22)</f>
        <v>-0.27058006252170891</v>
      </c>
      <c r="J22" s="37">
        <f>+'New Year-Full Year'!U22</f>
        <v>23991.7</v>
      </c>
      <c r="K22" s="37">
        <f>+'New Year-Full Year'!V22</f>
        <v>23991.7</v>
      </c>
      <c r="L22" s="3">
        <f t="shared" ref="L22" si="10">IF(K22=0,"NA",(+J22-K22)/K22)</f>
        <v>0</v>
      </c>
    </row>
    <row r="23" spans="1:12" ht="14.5" customHeight="1">
      <c r="A23" s="6"/>
      <c r="B23" s="1"/>
      <c r="C23" s="393" t="str">
        <f>+'New Year-Full Year'!C23</f>
        <v>Holman's Ministry</v>
      </c>
      <c r="E23" s="37">
        <f>+'New Year-Full Year'!P23</f>
        <v>0</v>
      </c>
      <c r="F23" s="37">
        <f>+'New Year-Full Year'!Q23</f>
        <v>3000</v>
      </c>
      <c r="G23" s="37">
        <f t="shared" ref="G23:G30" si="11">+E23-F23</f>
        <v>-3000</v>
      </c>
      <c r="H23" s="3">
        <f t="shared" ref="H23:H30" si="12">IF(F23=0,"NA",(+E23-F23)/F23)</f>
        <v>-1</v>
      </c>
      <c r="J23" s="37">
        <f>+'New Year-Full Year'!U23</f>
        <v>2250</v>
      </c>
      <c r="K23" s="37">
        <f>+'New Year-Full Year'!V23</f>
        <v>2250</v>
      </c>
      <c r="L23" s="3">
        <f t="shared" ref="L23:L30" si="13">IF(K23=0,"NA",(+J23-K23)/K23)</f>
        <v>0</v>
      </c>
    </row>
    <row r="24" spans="1:12" ht="14.5" customHeight="1">
      <c r="A24" s="6"/>
      <c r="B24" s="1"/>
      <c r="C24" s="393" t="str">
        <f>+'New Year-Full Year'!C24</f>
        <v>Lutherdale Bible Camp</v>
      </c>
      <c r="E24" s="37">
        <f>+'New Year-Full Year'!P24</f>
        <v>500</v>
      </c>
      <c r="F24" s="37">
        <f>+'New Year-Full Year'!Q24</f>
        <v>1000</v>
      </c>
      <c r="G24" s="37">
        <f t="shared" si="11"/>
        <v>-500</v>
      </c>
      <c r="H24" s="3">
        <f t="shared" si="12"/>
        <v>-0.5</v>
      </c>
      <c r="J24" s="37">
        <f>+'New Year-Full Year'!U24</f>
        <v>750</v>
      </c>
      <c r="K24" s="37">
        <f>+'New Year-Full Year'!V24</f>
        <v>750</v>
      </c>
      <c r="L24" s="3">
        <f t="shared" si="13"/>
        <v>0</v>
      </c>
    </row>
    <row r="25" spans="1:12" ht="14.5" customHeight="1">
      <c r="A25" s="6"/>
      <c r="B25" s="1"/>
      <c r="C25" s="393" t="str">
        <f>+'New Year-Full Year'!C25</f>
        <v>Racine Cluster (Living Faith Meal)</v>
      </c>
      <c r="E25" s="37">
        <f>+'New Year-Full Year'!P25</f>
        <v>1500</v>
      </c>
      <c r="F25" s="37">
        <f>+'New Year-Full Year'!Q25</f>
        <v>2000</v>
      </c>
      <c r="G25" s="37">
        <f t="shared" si="11"/>
        <v>-500</v>
      </c>
      <c r="H25" s="3">
        <f t="shared" si="12"/>
        <v>-0.25</v>
      </c>
      <c r="J25" s="37">
        <f>+'New Year-Full Year'!U25</f>
        <v>1500</v>
      </c>
      <c r="K25" s="37">
        <f>+'New Year-Full Year'!V25</f>
        <v>1500</v>
      </c>
      <c r="L25" s="3">
        <f t="shared" si="13"/>
        <v>0</v>
      </c>
    </row>
    <row r="26" spans="1:12" ht="14.5" customHeight="1">
      <c r="A26" s="6"/>
      <c r="B26" s="1"/>
      <c r="C26" s="393" t="str">
        <f>+'New Year-Full Year'!C26</f>
        <v>Racine Interfairth Coalition</v>
      </c>
      <c r="E26" s="37">
        <f>+'New Year-Full Year'!P26</f>
        <v>750</v>
      </c>
      <c r="F26" s="37">
        <f>+'New Year-Full Year'!Q26</f>
        <v>750</v>
      </c>
      <c r="G26" s="37">
        <f t="shared" si="11"/>
        <v>0</v>
      </c>
      <c r="H26" s="3">
        <f t="shared" si="12"/>
        <v>0</v>
      </c>
      <c r="J26" s="37">
        <f>+'New Year-Full Year'!U26</f>
        <v>562.5</v>
      </c>
      <c r="K26" s="37">
        <f>+'New Year-Full Year'!V26</f>
        <v>562.5</v>
      </c>
      <c r="L26" s="3">
        <f t="shared" si="13"/>
        <v>0</v>
      </c>
    </row>
    <row r="27" spans="1:12" ht="14.5" customHeight="1">
      <c r="A27" s="6"/>
      <c r="B27" s="1"/>
      <c r="C27" s="393" t="str">
        <f>+'New Year-Full Year'!C27</f>
        <v>Good Samaritain</v>
      </c>
      <c r="E27" s="37">
        <f>+'New Year-Full Year'!P27</f>
        <v>1000</v>
      </c>
      <c r="F27" s="37">
        <f>+'New Year-Full Year'!Q27</f>
        <v>1000</v>
      </c>
      <c r="G27" s="37">
        <f t="shared" si="11"/>
        <v>0</v>
      </c>
      <c r="H27" s="3">
        <f t="shared" si="12"/>
        <v>0</v>
      </c>
      <c r="J27" s="37">
        <f>+'New Year-Full Year'!U27</f>
        <v>750</v>
      </c>
      <c r="K27" s="37">
        <f>+'New Year-Full Year'!V27</f>
        <v>750</v>
      </c>
      <c r="L27" s="3">
        <f t="shared" si="13"/>
        <v>0</v>
      </c>
    </row>
    <row r="28" spans="1:12" ht="14.5" customHeight="1">
      <c r="A28" s="6"/>
      <c r="B28" s="1"/>
      <c r="C28" s="393" t="str">
        <f>+'New Year-Full Year'!C28</f>
        <v>HALO</v>
      </c>
      <c r="E28" s="37">
        <f>+'New Year-Full Year'!P28</f>
        <v>1000</v>
      </c>
      <c r="F28" s="37">
        <f>+'New Year-Full Year'!Q28</f>
        <v>1500</v>
      </c>
      <c r="G28" s="37">
        <f t="shared" si="11"/>
        <v>-500</v>
      </c>
      <c r="H28" s="3">
        <f t="shared" si="12"/>
        <v>-0.33333333333333331</v>
      </c>
      <c r="J28" s="37">
        <f>+'New Year-Full Year'!U28</f>
        <v>1125</v>
      </c>
      <c r="K28" s="37">
        <f>+'New Year-Full Year'!V28</f>
        <v>1125</v>
      </c>
      <c r="L28" s="3">
        <f t="shared" si="13"/>
        <v>0</v>
      </c>
    </row>
    <row r="29" spans="1:12" ht="14.5" customHeight="1">
      <c r="A29" s="6"/>
      <c r="B29" s="1"/>
      <c r="C29" s="393" t="str">
        <f>+'New Year-Full Year'!C29</f>
        <v>Veterans Tiny Homes</v>
      </c>
      <c r="E29" s="37">
        <f>+'New Year-Full Year'!P29</f>
        <v>1000</v>
      </c>
      <c r="F29" s="37">
        <f>+'New Year-Full Year'!Q29</f>
        <v>1500</v>
      </c>
      <c r="G29" s="37">
        <f t="shared" si="11"/>
        <v>-500</v>
      </c>
      <c r="H29" s="3">
        <f t="shared" si="12"/>
        <v>-0.33333333333333331</v>
      </c>
      <c r="J29" s="37">
        <f>+'New Year-Full Year'!U29</f>
        <v>1125</v>
      </c>
      <c r="K29" s="37">
        <f>+'New Year-Full Year'!V29</f>
        <v>1125</v>
      </c>
      <c r="L29" s="3">
        <f t="shared" si="13"/>
        <v>0</v>
      </c>
    </row>
    <row r="30" spans="1:12" ht="14.5" customHeight="1">
      <c r="A30" s="6"/>
      <c r="B30" s="1"/>
      <c r="C30" s="393" t="str">
        <f>+'New Year-Full Year'!C30</f>
        <v>Hospitality Center</v>
      </c>
      <c r="E30" s="37">
        <f>+'New Year-Full Year'!P30</f>
        <v>1000</v>
      </c>
      <c r="F30" s="37">
        <f>+'New Year-Full Year'!Q30</f>
        <v>500</v>
      </c>
      <c r="G30" s="37">
        <f t="shared" si="11"/>
        <v>500</v>
      </c>
      <c r="H30" s="3">
        <f t="shared" si="12"/>
        <v>1</v>
      </c>
      <c r="J30" s="37">
        <f>+'New Year-Full Year'!U30</f>
        <v>375</v>
      </c>
      <c r="K30" s="37">
        <f>+'New Year-Full Year'!V30</f>
        <v>375</v>
      </c>
      <c r="L30" s="3">
        <f t="shared" si="13"/>
        <v>0</v>
      </c>
    </row>
    <row r="31" spans="1:12" s="2" customFormat="1">
      <c r="A31" s="42">
        <v>26</v>
      </c>
      <c r="B31" s="11"/>
      <c r="C31" s="11" t="str">
        <f>+'New Year-Full Year'!C31</f>
        <v>6.1% Benevolence</v>
      </c>
      <c r="D31" s="11"/>
      <c r="E31" s="11">
        <f>SUM(E22:E30)</f>
        <v>27750</v>
      </c>
      <c r="F31" s="11">
        <f>SUM(F22:F30)</f>
        <v>40040</v>
      </c>
      <c r="G31" s="11">
        <f t="shared" ref="G31" si="14">+E31-F31</f>
        <v>-12290</v>
      </c>
      <c r="H31" s="13">
        <f>IF(F31=0,"NA",(+E31-F31)/F31)</f>
        <v>-0.30694305694305696</v>
      </c>
      <c r="I31" s="1"/>
      <c r="J31" s="11">
        <f>SUM(J22:J30)</f>
        <v>32429.200000000001</v>
      </c>
      <c r="K31" s="11">
        <f>SUM(K22:K30)</f>
        <v>32429.200000000001</v>
      </c>
      <c r="L31" s="13">
        <f>IF(K31=0,"NA",(+J31-K31)/K31)</f>
        <v>0</v>
      </c>
    </row>
    <row r="32" spans="1:12" s="2" customFormat="1" ht="19.5" customHeight="1">
      <c r="A32" s="42">
        <v>28</v>
      </c>
      <c r="B32" s="18" t="s">
        <v>58</v>
      </c>
      <c r="C32" s="15"/>
      <c r="D32" s="14"/>
      <c r="E32" s="14"/>
      <c r="F32" s="16"/>
      <c r="G32" s="16"/>
      <c r="H32" s="17"/>
      <c r="I32" s="14"/>
      <c r="J32" s="16"/>
      <c r="K32" s="16"/>
      <c r="L32" s="17"/>
    </row>
    <row r="33" spans="1:12" ht="19.5" customHeight="1">
      <c r="A33" s="42">
        <v>29</v>
      </c>
      <c r="B33" s="905" t="str">
        <f>+'New Year-Full Year'!B33</f>
        <v>Parish Ed</v>
      </c>
      <c r="C33" s="905"/>
      <c r="D33" s="905"/>
      <c r="H33" s="38"/>
    </row>
    <row r="34" spans="1:12">
      <c r="A34" s="42">
        <v>30</v>
      </c>
      <c r="C34" s="1" t="str">
        <f>+'New Year-Full Year'!C34</f>
        <v>Sunday School</v>
      </c>
      <c r="E34" s="37">
        <f>+'New Year-Full Year'!P34</f>
        <v>1500</v>
      </c>
      <c r="F34" s="37">
        <f>+'New Year-Full Year'!Q34</f>
        <v>2300</v>
      </c>
      <c r="G34" s="37">
        <f t="shared" ref="G34:G40" si="15">+E34-F34</f>
        <v>-800</v>
      </c>
      <c r="H34" s="3">
        <f t="shared" ref="H34:H41" si="16">IF(F34=0,"NA",(+E34-F34)/F34)</f>
        <v>-0.34782608695652173</v>
      </c>
      <c r="J34" s="37">
        <f>+'New Year-Full Year'!U34</f>
        <v>770.1</v>
      </c>
      <c r="K34" s="37">
        <f>+'New Year-Full Year'!V34</f>
        <v>1788.88</v>
      </c>
      <c r="L34" s="3">
        <f t="shared" ref="L34:L41" si="17">IF(K34=0,"NA",(+J34-K34)/K34)</f>
        <v>-0.56950717767541703</v>
      </c>
    </row>
    <row r="35" spans="1:12">
      <c r="A35" s="42">
        <v>31</v>
      </c>
      <c r="C35" s="1" t="str">
        <f>+'New Year-Full Year'!C36</f>
        <v>Confirmation</v>
      </c>
      <c r="E35" s="37">
        <f>+'New Year-Full Year'!P36</f>
        <v>1000</v>
      </c>
      <c r="F35" s="37">
        <f>+'New Year-Full Year'!Q36</f>
        <v>1000</v>
      </c>
      <c r="G35" s="37">
        <f t="shared" si="15"/>
        <v>0</v>
      </c>
      <c r="H35" s="3">
        <f t="shared" si="16"/>
        <v>0</v>
      </c>
      <c r="J35" s="37">
        <f>+'New Year-Full Year'!U36</f>
        <v>256.57</v>
      </c>
      <c r="K35" s="37">
        <f>+'New Year-Full Year'!V36</f>
        <v>1000</v>
      </c>
      <c r="L35" s="3">
        <f t="shared" si="17"/>
        <v>-0.74343000000000004</v>
      </c>
    </row>
    <row r="36" spans="1:12">
      <c r="A36" s="42">
        <v>32</v>
      </c>
      <c r="C36" s="1" t="str">
        <f>+'New Year-Full Year'!C38</f>
        <v>Neighborhood Camp</v>
      </c>
      <c r="E36" s="37">
        <f>+'New Year-Full Year'!P38</f>
        <v>250</v>
      </c>
      <c r="F36" s="37">
        <f>+'New Year-Full Year'!Q38</f>
        <v>250</v>
      </c>
      <c r="G36" s="37">
        <f t="shared" si="15"/>
        <v>0</v>
      </c>
      <c r="H36" s="3">
        <f t="shared" si="16"/>
        <v>0</v>
      </c>
      <c r="J36" s="37">
        <f>+'New Year-Full Year'!U38</f>
        <v>0</v>
      </c>
      <c r="K36" s="37">
        <f>+'New Year-Full Year'!V38</f>
        <v>250</v>
      </c>
      <c r="L36" s="3">
        <f t="shared" si="17"/>
        <v>-1</v>
      </c>
    </row>
    <row r="37" spans="1:12">
      <c r="A37" s="42">
        <v>33</v>
      </c>
      <c r="C37" s="1" t="str">
        <f>+'New Year-Full Year'!C39</f>
        <v>Library</v>
      </c>
      <c r="E37" s="37">
        <f>+'New Year-Full Year'!P39</f>
        <v>300</v>
      </c>
      <c r="F37" s="37">
        <f>+'New Year-Full Year'!Q39</f>
        <v>300</v>
      </c>
      <c r="G37" s="37">
        <f t="shared" si="15"/>
        <v>0</v>
      </c>
      <c r="H37" s="3">
        <f t="shared" si="16"/>
        <v>0</v>
      </c>
      <c r="J37" s="37">
        <f>+'New Year-Full Year'!U39</f>
        <v>-85</v>
      </c>
      <c r="K37" s="37">
        <f>+'New Year-Full Year'!V39</f>
        <v>0</v>
      </c>
      <c r="L37" s="3" t="str">
        <f t="shared" si="17"/>
        <v>NA</v>
      </c>
    </row>
    <row r="38" spans="1:12">
      <c r="A38" s="42">
        <v>34</v>
      </c>
      <c r="C38" s="1" t="str">
        <f>+'New Year-Full Year'!C40</f>
        <v>Communion Education</v>
      </c>
      <c r="E38" s="37">
        <f>+'New Year-Full Year'!P40</f>
        <v>200</v>
      </c>
      <c r="F38" s="37">
        <f>+'New Year-Full Year'!Q40</f>
        <v>200</v>
      </c>
      <c r="G38" s="37">
        <f t="shared" si="15"/>
        <v>0</v>
      </c>
      <c r="H38" s="3">
        <f t="shared" si="16"/>
        <v>0</v>
      </c>
      <c r="J38" s="37">
        <f>+'New Year-Full Year'!U40</f>
        <v>68.8</v>
      </c>
      <c r="K38" s="37">
        <f>+'New Year-Full Year'!V40</f>
        <v>200</v>
      </c>
      <c r="L38" s="3">
        <f t="shared" si="17"/>
        <v>-0.65599999999999992</v>
      </c>
    </row>
    <row r="39" spans="1:12">
      <c r="C39" s="1" t="str">
        <f>+'New Year-Full Year'!C41</f>
        <v>Adult Education</v>
      </c>
      <c r="E39" s="37">
        <f>+'New Year-Full Year'!P41</f>
        <v>550</v>
      </c>
      <c r="F39" s="37">
        <f>+'New Year-Full Year'!Q41</f>
        <v>550</v>
      </c>
      <c r="G39" s="37">
        <f t="shared" si="15"/>
        <v>0</v>
      </c>
      <c r="H39" s="3">
        <f t="shared" si="16"/>
        <v>0</v>
      </c>
      <c r="J39" s="37">
        <f>+'New Year-Full Year'!U41</f>
        <v>176.2</v>
      </c>
      <c r="K39" s="37">
        <f>+'New Year-Full Year'!V41</f>
        <v>458.3</v>
      </c>
      <c r="L39" s="3">
        <f>IF(K39=0,"NA",(+J39-K39)/K39)</f>
        <v>-0.61553567532184161</v>
      </c>
    </row>
    <row r="40" spans="1:12">
      <c r="A40" s="42">
        <v>35</v>
      </c>
      <c r="C40" s="1" t="str">
        <f>+'New Year-Full Year'!C42</f>
        <v>Cradle Roll</v>
      </c>
      <c r="E40" s="37">
        <f>+'New Year-Full Year'!P42</f>
        <v>250</v>
      </c>
      <c r="F40" s="37">
        <f>+'New Year-Full Year'!Q42</f>
        <v>250</v>
      </c>
      <c r="G40" s="37">
        <f t="shared" si="15"/>
        <v>0</v>
      </c>
      <c r="H40" s="3">
        <f t="shared" si="16"/>
        <v>0</v>
      </c>
      <c r="J40" s="37">
        <f>+'New Year-Full Year'!U42</f>
        <v>0</v>
      </c>
      <c r="K40" s="37">
        <f>+'New Year-Full Year'!V42</f>
        <v>208.3</v>
      </c>
      <c r="L40" s="3">
        <f t="shared" si="17"/>
        <v>-1</v>
      </c>
    </row>
    <row r="41" spans="1:12" s="2" customFormat="1">
      <c r="A41" s="42">
        <v>36</v>
      </c>
      <c r="B41" s="36" t="str">
        <f>+'New Year-Full Year'!B43</f>
        <v>Total Parish Ed</v>
      </c>
      <c r="C41" s="36"/>
      <c r="D41" s="36"/>
      <c r="E41" s="36">
        <f>SUM(E34:E40)</f>
        <v>4050</v>
      </c>
      <c r="F41" s="36">
        <f>SUM(F34:F40)</f>
        <v>4850</v>
      </c>
      <c r="G41" s="36">
        <f>SUM(G34:G40)</f>
        <v>-800</v>
      </c>
      <c r="H41" s="20">
        <f t="shared" si="16"/>
        <v>-0.16494845360824742</v>
      </c>
      <c r="J41" s="36">
        <f>SUM(J34:J40)</f>
        <v>1186.67</v>
      </c>
      <c r="K41" s="36">
        <f>SUM(K34:K40)</f>
        <v>3905.4800000000005</v>
      </c>
      <c r="L41" s="20">
        <f t="shared" si="17"/>
        <v>-0.69615258559767301</v>
      </c>
    </row>
    <row r="42" spans="1:12" ht="19.5" customHeight="1">
      <c r="A42" s="42">
        <v>40</v>
      </c>
      <c r="B42" s="882" t="str">
        <f>+'New Year-Full Year'!B44</f>
        <v>Worship</v>
      </c>
      <c r="H42" s="38"/>
    </row>
    <row r="43" spans="1:12">
      <c r="A43" s="42">
        <v>41</v>
      </c>
      <c r="C43" s="1" t="str">
        <f>+'New Year-Full Year'!C45</f>
        <v>Worship Supplies</v>
      </c>
      <c r="E43" s="37">
        <f>+'New Year-Full Year'!P45</f>
        <v>3500</v>
      </c>
      <c r="F43" s="37">
        <f>+'New Year-Full Year'!Q45</f>
        <v>3500</v>
      </c>
      <c r="G43" s="37">
        <f t="shared" ref="G43:G45" si="18">+E43-F43</f>
        <v>0</v>
      </c>
      <c r="H43" s="3">
        <f>IF(F43=0,"NA",(+E43-F43)/F43)</f>
        <v>0</v>
      </c>
      <c r="J43" s="37">
        <f>+'New Year-Full Year'!U45</f>
        <v>2038.25</v>
      </c>
      <c r="K43" s="37">
        <f>+'New Year-Full Year'!V45</f>
        <v>2916.7</v>
      </c>
      <c r="L43" s="3">
        <f>IF(K43=0,"NA",(+J43-K43)/K43)</f>
        <v>-0.30117941509239893</v>
      </c>
    </row>
    <row r="44" spans="1:12">
      <c r="A44" s="42">
        <v>43</v>
      </c>
      <c r="C44" s="1" t="str">
        <f>+'New Year-Full Year'!C46</f>
        <v>Children's Services</v>
      </c>
      <c r="E44" s="37">
        <f>+'New Year-Full Year'!P46</f>
        <v>100</v>
      </c>
      <c r="F44" s="37">
        <f>+'New Year-Full Year'!Q46</f>
        <v>100</v>
      </c>
      <c r="G44" s="37">
        <f t="shared" si="18"/>
        <v>0</v>
      </c>
      <c r="H44" s="3">
        <f>IF(F44=0,"NA",(+E44-F44)/F44)</f>
        <v>0</v>
      </c>
      <c r="J44" s="37">
        <f>+'New Year-Full Year'!U46</f>
        <v>0</v>
      </c>
      <c r="K44" s="37">
        <f>+'New Year-Full Year'!V46</f>
        <v>83.3</v>
      </c>
      <c r="L44" s="3">
        <f>IF(K44=0,"NA",(+J44-K44)/K44)</f>
        <v>-1</v>
      </c>
    </row>
    <row r="45" spans="1:12">
      <c r="A45" s="42">
        <v>44</v>
      </c>
      <c r="C45" s="1" t="str">
        <f>+'New Year-Full Year'!C47</f>
        <v>Flowers</v>
      </c>
      <c r="E45" s="37">
        <f>+'New Year-Full Year'!P47</f>
        <v>200</v>
      </c>
      <c r="F45" s="37">
        <f>+'New Year-Full Year'!Q47</f>
        <v>200</v>
      </c>
      <c r="G45" s="37">
        <f t="shared" si="18"/>
        <v>0</v>
      </c>
      <c r="H45" s="3">
        <f>IF(F45=0,"NA",(+E45-F45)/F45)</f>
        <v>0</v>
      </c>
      <c r="J45" s="37">
        <f>+'New Year-Full Year'!U47</f>
        <v>3</v>
      </c>
      <c r="K45" s="37">
        <f>+'New Year-Full Year'!V47</f>
        <v>166.7</v>
      </c>
      <c r="L45" s="3">
        <f>IF(K45=0,"NA",(+J45-K45)/K45)</f>
        <v>-0.98200359928014402</v>
      </c>
    </row>
    <row r="46" spans="1:12" s="2" customFormat="1">
      <c r="A46" s="42">
        <v>45</v>
      </c>
      <c r="B46" s="36" t="str">
        <f>+'New Year-Full Year'!B48</f>
        <v>Total Worship</v>
      </c>
      <c r="C46" s="36"/>
      <c r="D46" s="36"/>
      <c r="E46" s="36">
        <f>SUM(E43:E45)</f>
        <v>3800</v>
      </c>
      <c r="F46" s="36">
        <f>SUM(F43:F45)</f>
        <v>3800</v>
      </c>
      <c r="G46" s="36">
        <f>SUM(G43:G45)</f>
        <v>0</v>
      </c>
      <c r="H46" s="20">
        <f>IF(F46=0,"NA",(+E46-F46)/F46)</f>
        <v>0</v>
      </c>
      <c r="J46" s="36">
        <f>SUM(J43:J45)</f>
        <v>2041.25</v>
      </c>
      <c r="K46" s="36">
        <f>SUM(K43:K45)</f>
        <v>3166.7</v>
      </c>
      <c r="L46" s="20">
        <f>IF(K46=0,"NA",(+J46-K46)/K46)</f>
        <v>-0.35540152208924114</v>
      </c>
    </row>
    <row r="47" spans="1:12" ht="6.75" customHeight="1">
      <c r="A47" s="42">
        <v>46</v>
      </c>
      <c r="H47" s="38"/>
    </row>
    <row r="48" spans="1:12" s="2" customFormat="1">
      <c r="A48" s="42">
        <v>51</v>
      </c>
      <c r="B48" s="36" t="str">
        <f>+'New Year-Full Year'!B50</f>
        <v>Youth</v>
      </c>
      <c r="C48" s="36"/>
      <c r="D48" s="36"/>
      <c r="E48" s="36">
        <f>+'New Year-Full Year'!P50</f>
        <v>8000</v>
      </c>
      <c r="F48" s="36">
        <f>+'New Year-Full Year'!Q50</f>
        <v>12800</v>
      </c>
      <c r="G48" s="36">
        <f t="shared" ref="G48" si="19">+E48-F48</f>
        <v>-4800</v>
      </c>
      <c r="H48" s="20">
        <f>IF(F48=0,"NA",(+E48-F48)/F48)</f>
        <v>-0.375</v>
      </c>
      <c r="J48" s="36">
        <f>+'New Year-Full Year'!U50</f>
        <v>1094.4000000000001</v>
      </c>
      <c r="K48" s="36">
        <f>+'New Year-Full Year'!V50</f>
        <v>10666.7</v>
      </c>
      <c r="L48" s="20">
        <f>IF(K48=0,"NA",(+J48-K48)/K48)</f>
        <v>-0.8974003206239981</v>
      </c>
    </row>
    <row r="49" spans="1:12" ht="19.5" customHeight="1">
      <c r="A49" s="42">
        <v>53</v>
      </c>
      <c r="B49" s="882" t="str">
        <f>+'New Year-Full Year'!B51</f>
        <v>Church Membership</v>
      </c>
      <c r="H49" s="38"/>
    </row>
    <row r="50" spans="1:12">
      <c r="A50" s="42">
        <v>54</v>
      </c>
      <c r="C50" s="1" t="str">
        <f>+'New Year-Full Year'!C52</f>
        <v>Church Membership Activities</v>
      </c>
      <c r="E50" s="37">
        <f>+'New Year-Full Year'!P52</f>
        <v>400</v>
      </c>
      <c r="F50" s="37">
        <f>+'New Year-Full Year'!Q52</f>
        <v>400</v>
      </c>
      <c r="G50" s="37">
        <f t="shared" ref="G50:G51" si="20">+E50-F50</f>
        <v>0</v>
      </c>
      <c r="H50" s="3">
        <f>IF(F50=0,"NA",(+E50-F50)/F50)</f>
        <v>0</v>
      </c>
      <c r="J50" s="37">
        <f>+'New Year-Full Year'!U52</f>
        <v>0</v>
      </c>
      <c r="K50" s="37">
        <f>+'New Year-Full Year'!V52</f>
        <v>333.3</v>
      </c>
      <c r="L50" s="3">
        <f>IF(K50=0,"NA",(+J50-K50)/K50)</f>
        <v>-1</v>
      </c>
    </row>
    <row r="51" spans="1:12">
      <c r="A51" s="42">
        <v>55</v>
      </c>
      <c r="C51" s="1" t="str">
        <f>+'New Year-Full Year'!C54</f>
        <v>Sunday Coffee</v>
      </c>
      <c r="E51" s="37">
        <f>+'New Year-Full Year'!P54</f>
        <v>150</v>
      </c>
      <c r="F51" s="37">
        <f>+'New Year-Full Year'!Q54</f>
        <v>150</v>
      </c>
      <c r="G51" s="37">
        <f t="shared" si="20"/>
        <v>0</v>
      </c>
      <c r="H51" s="3">
        <f>IF(F51=0,"NA",(+E51-F51)/F51)</f>
        <v>0</v>
      </c>
      <c r="J51" s="37">
        <f>+'New Year-Full Year'!U54</f>
        <v>0</v>
      </c>
      <c r="K51" s="37">
        <f>+'New Year-Full Year'!V54</f>
        <v>125</v>
      </c>
      <c r="L51" s="3">
        <f>IF(K51=0,"NA",(+J51-K51)/K51)</f>
        <v>-1</v>
      </c>
    </row>
    <row r="52" spans="1:12" s="2" customFormat="1">
      <c r="A52" s="42">
        <v>56</v>
      </c>
      <c r="B52" s="36" t="str">
        <f>+'New Year-Full Year'!B55</f>
        <v>Total Church Membership</v>
      </c>
      <c r="C52" s="36"/>
      <c r="D52" s="36"/>
      <c r="E52" s="36">
        <f>SUM(E50:E51)</f>
        <v>550</v>
      </c>
      <c r="F52" s="36">
        <f>SUM(F50:F51)</f>
        <v>550</v>
      </c>
      <c r="G52" s="36">
        <f>SUM(G50:G51)</f>
        <v>0</v>
      </c>
      <c r="H52" s="20">
        <f>IF(F52=0,"NA",(+E52-F52)/F52)</f>
        <v>0</v>
      </c>
      <c r="J52" s="36">
        <f>SUM(J50:J51)</f>
        <v>0</v>
      </c>
      <c r="K52" s="36">
        <f>SUM(K50:K51)</f>
        <v>458.3</v>
      </c>
      <c r="L52" s="20">
        <f>IF(K52=0,"NA",(+J52-K52)/K52)</f>
        <v>-1</v>
      </c>
    </row>
    <row r="53" spans="1:12" ht="5.25" customHeight="1">
      <c r="A53" s="42">
        <v>57</v>
      </c>
      <c r="H53" s="38"/>
    </row>
    <row r="54" spans="1:12">
      <c r="A54" s="42">
        <v>58</v>
      </c>
      <c r="B54" s="36" t="str">
        <f>+'New Year-Full Year'!B57</f>
        <v>Church &amp; Community Outreach</v>
      </c>
      <c r="C54" s="21"/>
      <c r="D54" s="21"/>
      <c r="E54" s="44">
        <f>+'New Year-Full Year'!P57</f>
        <v>200</v>
      </c>
      <c r="F54" s="44">
        <f>+'New Year-Full Year'!Q57</f>
        <v>200</v>
      </c>
      <c r="G54" s="36">
        <f t="shared" ref="G54" si="21">+E54-F54</f>
        <v>0</v>
      </c>
      <c r="H54" s="20">
        <f>IF(F54=0,"NA",(+E54-F54)/F54)</f>
        <v>0</v>
      </c>
      <c r="J54" s="44">
        <f>+'New Year-Full Year'!U57</f>
        <v>0</v>
      </c>
      <c r="K54" s="44">
        <f>+'New Year-Full Year'!V57</f>
        <v>166.7</v>
      </c>
      <c r="L54" s="20">
        <f>IF(K54=0,"NA",(+J54-K54)/K54)</f>
        <v>-1</v>
      </c>
    </row>
    <row r="55" spans="1:12" ht="19.5" customHeight="1">
      <c r="A55" s="42">
        <v>60</v>
      </c>
      <c r="B55" s="882" t="str">
        <f>+'New Year-Full Year'!B58</f>
        <v>Misc Programs</v>
      </c>
      <c r="H55" s="38"/>
    </row>
    <row r="56" spans="1:12">
      <c r="A56" s="42">
        <v>61</v>
      </c>
      <c r="C56" s="1" t="str">
        <f>+'New Year-Full Year'!C59</f>
        <v>Stewardship</v>
      </c>
      <c r="E56" s="37">
        <f>+'New Year-Full Year'!P59</f>
        <v>200</v>
      </c>
      <c r="F56" s="37">
        <f>+'New Year-Full Year'!Q59</f>
        <v>200</v>
      </c>
      <c r="G56" s="37">
        <f t="shared" ref="G56:G61" si="22">+E56-F56</f>
        <v>0</v>
      </c>
      <c r="H56" s="3">
        <f t="shared" ref="H56:H62" si="23">IF(F56=0,"NA",(+E56-F56)/F56)</f>
        <v>0</v>
      </c>
      <c r="J56" s="37">
        <f>+'New Year-Full Year'!U59</f>
        <v>450</v>
      </c>
      <c r="K56" s="37">
        <f>+'New Year-Full Year'!V59</f>
        <v>200</v>
      </c>
      <c r="L56" s="3">
        <f t="shared" ref="L56:L62" si="24">IF(K56=0,"NA",(+J56-K56)/K56)</f>
        <v>1.25</v>
      </c>
    </row>
    <row r="57" spans="1:12">
      <c r="A57" s="42">
        <v>62</v>
      </c>
      <c r="C57" s="1" t="str">
        <f>+'New Year-Full Year'!C60</f>
        <v>Envelopes, Giving</v>
      </c>
      <c r="E57" s="37">
        <f>+'New Year-Full Year'!P60</f>
        <v>300</v>
      </c>
      <c r="F57" s="37">
        <f>+'New Year-Full Year'!Q60</f>
        <v>500</v>
      </c>
      <c r="G57" s="37">
        <f t="shared" si="22"/>
        <v>-200</v>
      </c>
      <c r="H57" s="3">
        <f t="shared" si="23"/>
        <v>-0.4</v>
      </c>
      <c r="J57" s="37">
        <f>+'New Year-Full Year'!U60</f>
        <v>0</v>
      </c>
      <c r="K57" s="37">
        <f>+'New Year-Full Year'!V60</f>
        <v>500</v>
      </c>
      <c r="L57" s="3">
        <f t="shared" si="24"/>
        <v>-1</v>
      </c>
    </row>
    <row r="58" spans="1:12">
      <c r="A58" s="42">
        <v>63</v>
      </c>
      <c r="C58" s="1" t="str">
        <f>+'New Year-Full Year'!C62</f>
        <v>Synod Assembly</v>
      </c>
      <c r="E58" s="37">
        <f>+'New Year-Full Year'!P62</f>
        <v>1000</v>
      </c>
      <c r="F58" s="37">
        <f>+'New Year-Full Year'!Q62</f>
        <v>1000</v>
      </c>
      <c r="G58" s="37">
        <f t="shared" si="22"/>
        <v>0</v>
      </c>
      <c r="H58" s="3">
        <f t="shared" si="23"/>
        <v>0</v>
      </c>
      <c r="J58" s="37">
        <f>+'New Year-Full Year'!U62</f>
        <v>654</v>
      </c>
      <c r="K58" s="37">
        <f>+'New Year-Full Year'!V62</f>
        <v>1000</v>
      </c>
      <c r="L58" s="3">
        <f t="shared" si="24"/>
        <v>-0.34599999999999997</v>
      </c>
    </row>
    <row r="59" spans="1:12">
      <c r="A59" s="42">
        <v>64</v>
      </c>
      <c r="C59" s="1" t="str">
        <f>+'New Year-Full Year'!C63</f>
        <v>Evangelism</v>
      </c>
      <c r="E59" s="37">
        <f>+'New Year-Full Year'!P63</f>
        <v>2000</v>
      </c>
      <c r="F59" s="37">
        <f>+'New Year-Full Year'!Q63</f>
        <v>3000</v>
      </c>
      <c r="G59" s="37">
        <f t="shared" si="22"/>
        <v>-1000</v>
      </c>
      <c r="H59" s="3">
        <f t="shared" si="23"/>
        <v>-0.33333333333333331</v>
      </c>
      <c r="J59" s="37">
        <f>+'New Year-Full Year'!U63</f>
        <v>322.07</v>
      </c>
      <c r="K59" s="37">
        <f>+'New Year-Full Year'!V63</f>
        <v>2500</v>
      </c>
      <c r="L59" s="3">
        <f t="shared" si="24"/>
        <v>-0.87117199999999995</v>
      </c>
    </row>
    <row r="60" spans="1:12">
      <c r="C60" s="1" t="str">
        <f>+'New Year-Full Year'!C64</f>
        <v>Other Programs</v>
      </c>
      <c r="E60" s="37">
        <f>+'New Year-Full Year'!P64</f>
        <v>200</v>
      </c>
      <c r="F60" s="37">
        <f>+'New Year-Full Year'!Q64</f>
        <v>200</v>
      </c>
      <c r="G60" s="37">
        <f t="shared" si="22"/>
        <v>0</v>
      </c>
      <c r="H60" s="3">
        <f>IF(F60=0,"NA",(+E60-F60)/F60)</f>
        <v>0</v>
      </c>
      <c r="J60" s="37">
        <f>+'New Year-Full Year'!U64</f>
        <v>0</v>
      </c>
      <c r="K60" s="37">
        <f>+'New Year-Full Year'!V64</f>
        <v>166.7</v>
      </c>
      <c r="L60" s="3">
        <f>IF(K60=0,"NA",(+J60-K60)/K60)</f>
        <v>-1</v>
      </c>
    </row>
    <row r="61" spans="1:12">
      <c r="A61" s="42">
        <v>65</v>
      </c>
      <c r="C61" s="1" t="str">
        <f>+'New Year-Full Year'!C65</f>
        <v>Organ/Piano Maintenance</v>
      </c>
      <c r="E61" s="37">
        <f>+'New Year-Full Year'!P65</f>
        <v>1575</v>
      </c>
      <c r="F61" s="37">
        <f>+'New Year-Full Year'!Q65</f>
        <v>1575</v>
      </c>
      <c r="G61" s="37">
        <f t="shared" si="22"/>
        <v>0</v>
      </c>
      <c r="H61" s="3">
        <f t="shared" si="23"/>
        <v>0</v>
      </c>
      <c r="J61" s="37">
        <f>+'New Year-Full Year'!U65</f>
        <v>286.25</v>
      </c>
      <c r="K61" s="37">
        <f>+'New Year-Full Year'!V65</f>
        <v>1312.5</v>
      </c>
      <c r="L61" s="3">
        <f t="shared" si="24"/>
        <v>-0.78190476190476188</v>
      </c>
    </row>
    <row r="62" spans="1:12" s="2" customFormat="1">
      <c r="A62" s="42">
        <v>66</v>
      </c>
      <c r="B62" s="36" t="str">
        <f>+'New Year-Full Year'!B66</f>
        <v>Total Misc Programs</v>
      </c>
      <c r="C62" s="36"/>
      <c r="D62" s="36"/>
      <c r="E62" s="36">
        <f>SUM(E56:E61)</f>
        <v>5275</v>
      </c>
      <c r="F62" s="36">
        <f>SUM(F56:F61)</f>
        <v>6475</v>
      </c>
      <c r="G62" s="36">
        <f>SUM(G56:G61)</f>
        <v>-1200</v>
      </c>
      <c r="H62" s="20">
        <f t="shared" si="23"/>
        <v>-0.18532818532818532</v>
      </c>
      <c r="J62" s="36">
        <f>SUM(J56:J61)</f>
        <v>1712.32</v>
      </c>
      <c r="K62" s="36">
        <f>SUM(K56:K61)</f>
        <v>5679.2</v>
      </c>
      <c r="L62" s="20">
        <f t="shared" si="24"/>
        <v>-0.69849274545710671</v>
      </c>
    </row>
    <row r="63" spans="1:12" ht="19.5" customHeight="1">
      <c r="A63" s="42">
        <v>68</v>
      </c>
      <c r="B63" s="882" t="str">
        <f>+'New Year-Full Year'!B67</f>
        <v>Office Expense</v>
      </c>
      <c r="H63" s="38"/>
    </row>
    <row r="64" spans="1:12">
      <c r="A64" s="42">
        <v>69</v>
      </c>
      <c r="C64" s="1" t="str">
        <f>+'New Year-Full Year'!C68</f>
        <v>Office Supplies</v>
      </c>
      <c r="E64" s="37">
        <f>+'New Year-Full Year'!P68</f>
        <v>2500</v>
      </c>
      <c r="F64" s="37">
        <f>+'New Year-Full Year'!Q68</f>
        <v>3500</v>
      </c>
      <c r="G64" s="37">
        <f t="shared" ref="G64:G69" si="25">+E64-F64</f>
        <v>-1000</v>
      </c>
      <c r="H64" s="3">
        <f t="shared" ref="H64:H71" si="26">IF(F64=0,"NA",(+E64-F64)/F64)</f>
        <v>-0.2857142857142857</v>
      </c>
      <c r="J64" s="37">
        <f>+'New Year-Full Year'!U68</f>
        <v>1908.94</v>
      </c>
      <c r="K64" s="37">
        <f>+'New Year-Full Year'!V68</f>
        <v>2916.7</v>
      </c>
      <c r="L64" s="3">
        <f t="shared" ref="L64:L71" si="27">IF(K64=0,"NA",(+J64-K64)/K64)</f>
        <v>-0.345513765556965</v>
      </c>
    </row>
    <row r="65" spans="1:13">
      <c r="A65" s="42">
        <v>70</v>
      </c>
      <c r="C65" s="1" t="str">
        <f>+'New Year-Full Year'!C69</f>
        <v>Postage</v>
      </c>
      <c r="E65" s="37">
        <f>+'New Year-Full Year'!P69</f>
        <v>2300</v>
      </c>
      <c r="F65" s="37">
        <f>+'New Year-Full Year'!Q69</f>
        <v>2250</v>
      </c>
      <c r="G65" s="37">
        <f t="shared" si="25"/>
        <v>50</v>
      </c>
      <c r="H65" s="3">
        <f t="shared" si="26"/>
        <v>2.2222222222222223E-2</v>
      </c>
      <c r="J65" s="37">
        <f>+'New Year-Full Year'!U69</f>
        <v>2403.44</v>
      </c>
      <c r="K65" s="37">
        <f>+'New Year-Full Year'!V69</f>
        <v>1875</v>
      </c>
      <c r="L65" s="3">
        <f t="shared" si="27"/>
        <v>0.28183466666666668</v>
      </c>
    </row>
    <row r="66" spans="1:13">
      <c r="A66" s="42">
        <v>73</v>
      </c>
      <c r="C66" s="1" t="str">
        <f>+'New Year-Full Year'!C70</f>
        <v>Office Equipment/Computer</v>
      </c>
      <c r="E66" s="37">
        <f>+'New Year-Full Year'!P70</f>
        <v>11000</v>
      </c>
      <c r="F66" s="37">
        <f>+'New Year-Full Year'!Q70</f>
        <v>13000</v>
      </c>
      <c r="G66" s="37">
        <f t="shared" si="25"/>
        <v>-2000</v>
      </c>
      <c r="H66" s="3">
        <f t="shared" si="26"/>
        <v>-0.15384615384615385</v>
      </c>
      <c r="J66" s="37">
        <f>+'New Year-Full Year'!U70</f>
        <v>8976.7199999999993</v>
      </c>
      <c r="K66" s="37">
        <f>+'New Year-Full Year'!V70</f>
        <v>10833.3</v>
      </c>
      <c r="L66" s="3">
        <f t="shared" si="27"/>
        <v>-0.17137714269890061</v>
      </c>
    </row>
    <row r="67" spans="1:13">
      <c r="A67" s="42">
        <v>74</v>
      </c>
      <c r="C67" s="1" t="str">
        <f>+'New Year-Full Year'!C72</f>
        <v>Kitchen Supplies</v>
      </c>
      <c r="E67" s="37">
        <f>+'New Year-Full Year'!P72</f>
        <v>800</v>
      </c>
      <c r="F67" s="37">
        <f>+'New Year-Full Year'!Q72</f>
        <v>1200</v>
      </c>
      <c r="G67" s="37">
        <f t="shared" si="25"/>
        <v>-400</v>
      </c>
      <c r="H67" s="3">
        <f t="shared" si="26"/>
        <v>-0.33333333333333331</v>
      </c>
      <c r="J67" s="37">
        <f>+'New Year-Full Year'!U72</f>
        <v>0</v>
      </c>
      <c r="K67" s="37">
        <f>+'New Year-Full Year'!V72</f>
        <v>1000</v>
      </c>
      <c r="L67" s="3">
        <f t="shared" si="27"/>
        <v>-1</v>
      </c>
    </row>
    <row r="68" spans="1:13">
      <c r="A68" s="42">
        <v>75</v>
      </c>
      <c r="C68" s="1" t="str">
        <f>+'New Year-Full Year'!C73</f>
        <v>Bank Fees</v>
      </c>
      <c r="E68" s="37">
        <f>+'New Year-Full Year'!P73</f>
        <v>1700</v>
      </c>
      <c r="F68" s="37">
        <f>+'New Year-Full Year'!Q73</f>
        <v>1700</v>
      </c>
      <c r="G68" s="37">
        <f t="shared" si="25"/>
        <v>0</v>
      </c>
      <c r="H68" s="3">
        <f t="shared" si="26"/>
        <v>0</v>
      </c>
      <c r="J68" s="37">
        <f>+'New Year-Full Year'!U73</f>
        <v>1406.78</v>
      </c>
      <c r="K68" s="37">
        <f>+'New Year-Full Year'!V73</f>
        <v>1416.7</v>
      </c>
      <c r="L68" s="3">
        <f t="shared" si="27"/>
        <v>-7.0021881838074913E-3</v>
      </c>
    </row>
    <row r="69" spans="1:13">
      <c r="A69" s="42">
        <v>76</v>
      </c>
      <c r="C69" s="1" t="str">
        <f>+'New Year-Full Year'!C74</f>
        <v>Professional Fees</v>
      </c>
      <c r="E69" s="37">
        <f>+'New Year-Full Year'!P74</f>
        <v>1500</v>
      </c>
      <c r="F69" s="37">
        <f>+'New Year-Full Year'!Q74</f>
        <v>2500</v>
      </c>
      <c r="G69" s="37">
        <f t="shared" si="25"/>
        <v>-1000</v>
      </c>
      <c r="H69" s="3">
        <f>IF(F69=0,"NA",(+E69-F69)/F69)</f>
        <v>-0.4</v>
      </c>
      <c r="J69" s="37">
        <f>+'New Year-Full Year'!U74</f>
        <v>500</v>
      </c>
      <c r="K69" s="37">
        <f>+'New Year-Full Year'!V74</f>
        <v>2083.3000000000002</v>
      </c>
      <c r="L69" s="3">
        <f>IF(K69=0,"NA",(+J69-K69)/K69)</f>
        <v>-0.75999615993855907</v>
      </c>
    </row>
    <row r="70" spans="1:13" s="2" customFormat="1">
      <c r="A70" s="42">
        <v>76</v>
      </c>
      <c r="B70" s="36" t="str">
        <f>+'New Year-Full Year'!B76</f>
        <v>Total Office Expense</v>
      </c>
      <c r="C70" s="36"/>
      <c r="D70" s="36"/>
      <c r="E70" s="36">
        <f>SUM(E64:E69)</f>
        <v>19800</v>
      </c>
      <c r="F70" s="36">
        <f>SUM(F64:F69)</f>
        <v>24150</v>
      </c>
      <c r="G70" s="36">
        <f>SUM(G64:G69)</f>
        <v>-4350</v>
      </c>
      <c r="H70" s="20">
        <f t="shared" si="26"/>
        <v>-0.18012422360248448</v>
      </c>
      <c r="J70" s="36">
        <f>SUM(J64:J69)</f>
        <v>15195.88</v>
      </c>
      <c r="K70" s="36">
        <f>SUM(K64:K69)</f>
        <v>20125</v>
      </c>
      <c r="L70" s="20">
        <f t="shared" si="27"/>
        <v>-0.24492521739130438</v>
      </c>
    </row>
    <row r="71" spans="1:13">
      <c r="A71" s="42">
        <v>77</v>
      </c>
      <c r="B71" s="36" t="str">
        <f>+'New Year-Full Year'!B77</f>
        <v>TOTAL PROGRAMS</v>
      </c>
      <c r="C71" s="22"/>
      <c r="D71" s="22"/>
      <c r="E71" s="36">
        <f>+E41+E46+E48+E54+E62+E70+E52</f>
        <v>41675</v>
      </c>
      <c r="F71" s="36">
        <f>+F41+F46+F48+F54+F62+F70+F52</f>
        <v>52825</v>
      </c>
      <c r="G71" s="36">
        <f>+G41+G46+G48+G54+G62+G70+G52</f>
        <v>-11150</v>
      </c>
      <c r="H71" s="20">
        <f t="shared" si="26"/>
        <v>-0.21107430194036914</v>
      </c>
      <c r="J71" s="36">
        <f>+J41+J46+J48+J54+J62+J70+J52</f>
        <v>21230.519999999997</v>
      </c>
      <c r="K71" s="36">
        <f>+K41+K46+K48+K54+K62+K70+K52</f>
        <v>44168.08</v>
      </c>
      <c r="L71" s="20">
        <f t="shared" si="27"/>
        <v>-0.51932436275246752</v>
      </c>
    </row>
    <row r="72" spans="1:13" ht="23" customHeight="1">
      <c r="A72" s="42">
        <v>79</v>
      </c>
      <c r="B72" s="6" t="s">
        <v>34</v>
      </c>
      <c r="H72" s="38"/>
    </row>
    <row r="73" spans="1:13" hidden="1">
      <c r="B73" s="2" t="s">
        <v>317</v>
      </c>
      <c r="H73" s="38"/>
    </row>
    <row r="74" spans="1:13" hidden="1">
      <c r="A74" s="42">
        <v>81</v>
      </c>
      <c r="C74" s="896" t="s">
        <v>384</v>
      </c>
      <c r="D74" s="896"/>
      <c r="E74" s="37">
        <f>+'New Year-Full Year'!P$80+'New Year-Full Year'!P$105+'New Year-Full Year'!P$120+SUM('New Year-Full Year'!P$122:P$125)+SUM('New Year-Full Year'!P$131:P$132)+'New Year-Full Year'!P$135</f>
        <v>205950</v>
      </c>
      <c r="F74" s="37">
        <f>+'New Year-Full Year'!Q$80+'New Year-Full Year'!Q$105+'New Year-Full Year'!Q$120+SUM('New Year-Full Year'!Q$122:Q$125)+SUM('New Year-Full Year'!Q$131:Q$132)+'New Year-Full Year'!Q$135</f>
        <v>213262</v>
      </c>
      <c r="G74" s="37">
        <f t="shared" ref="G74:G75" si="28">+E74-F74</f>
        <v>-7312</v>
      </c>
      <c r="H74" s="3">
        <f>IF(F74=0,"NA",(+E74-F74)/F74)</f>
        <v>-3.4286464536579415E-2</v>
      </c>
      <c r="J74" s="37">
        <f>+'New Year-Full Year'!U$80+'New Year-Full Year'!U$105+'New Year-Full Year'!U$120+SUM('New Year-Full Year'!U$122:U$125)+SUM('New Year-Full Year'!U$131:U$132)+'New Year-Full Year'!U$135</f>
        <v>135895.74000000002</v>
      </c>
      <c r="K74" s="37">
        <f>+'New Year-Full Year'!V$80+'New Year-Full Year'!V$105+'New Year-Full Year'!V$120+SUM('New Year-Full Year'!V$122:V$125)+SUM('New Year-Full Year'!V$131:V$132)+'New Year-Full Year'!V$135</f>
        <v>177017.97</v>
      </c>
      <c r="L74" s="3">
        <f>IF(K74=0,"NA",(+J74-K74)/K74)</f>
        <v>-0.23230539814686599</v>
      </c>
    </row>
    <row r="75" spans="1:13" hidden="1">
      <c r="A75" s="42">
        <v>83</v>
      </c>
      <c r="C75" s="1" t="s">
        <v>97</v>
      </c>
      <c r="E75" s="37">
        <f>SUM('New Year-Full Year'!P82:P90)+'New Year-Full Year'!P129+'New Year-Full Year'!P130+'New Year-Full Year'!P133+'New Year-Full Year'!P134</f>
        <v>44807</v>
      </c>
      <c r="F75" s="37">
        <f>SUM('New Year-Full Year'!Q82:Q90)+'New Year-Full Year'!Q129+'New Year-Full Year'!Q130+'New Year-Full Year'!Q133+'New Year-Full Year'!Q134</f>
        <v>42952</v>
      </c>
      <c r="G75" s="37">
        <f t="shared" si="28"/>
        <v>1855</v>
      </c>
      <c r="H75" s="3">
        <f>IF(F75=0,"NA",(+E75-F75)/F75)</f>
        <v>4.31877444589309E-2</v>
      </c>
      <c r="J75" s="37">
        <f>SUM('New Year-Full Year'!U82:U90)+'New Year-Full Year'!U129+'New Year-Full Year'!U130+'New Year-Full Year'!U133+'New Year-Full Year'!U134</f>
        <v>27848.89</v>
      </c>
      <c r="K75" s="37">
        <f>SUM('New Year-Full Year'!V82:V90)+'New Year-Full Year'!V129+'New Year-Full Year'!V130+'New Year-Full Year'!V133+'New Year-Full Year'!V134</f>
        <v>35449.1</v>
      </c>
      <c r="L75" s="3">
        <f>IF(K75=0,"NA",(+J75-K75)/K75)</f>
        <v>-0.2143978267431331</v>
      </c>
      <c r="M75" s="300"/>
    </row>
    <row r="76" spans="1:13" hidden="1">
      <c r="B76" s="2" t="s">
        <v>318</v>
      </c>
      <c r="D76" s="2" t="s">
        <v>385</v>
      </c>
      <c r="E76" s="37"/>
      <c r="F76" s="37"/>
      <c r="G76" s="37"/>
      <c r="H76" s="3"/>
      <c r="J76" s="37"/>
      <c r="K76" s="37"/>
      <c r="L76" s="3"/>
      <c r="M76" s="300"/>
    </row>
    <row r="77" spans="1:13" hidden="1">
      <c r="C77" s="896" t="s">
        <v>319</v>
      </c>
      <c r="D77" s="896"/>
      <c r="E77" s="37">
        <f>'New Year-Full Year'!P$103</f>
        <v>88773</v>
      </c>
      <c r="F77" s="37">
        <f>'New Year-Full Year'!Q$103</f>
        <v>86398</v>
      </c>
      <c r="G77" s="37">
        <f t="shared" ref="G77" si="29">+E77-F77</f>
        <v>2375</v>
      </c>
      <c r="H77" s="3">
        <f>IF(F77=0,"NA",(+E77-F77)/F77)</f>
        <v>2.7489062246811267E-2</v>
      </c>
      <c r="J77" s="37">
        <f>'New Year-Full Year'!U$103</f>
        <v>69872.2</v>
      </c>
      <c r="K77" s="37">
        <f>'New Year-Full Year'!V$103</f>
        <v>71958.399999999994</v>
      </c>
      <c r="L77" s="3">
        <f>IF(K77=0,"NA",(+J77-K77)/K77)</f>
        <v>-2.8991750789344916E-2</v>
      </c>
      <c r="M77" s="300"/>
    </row>
    <row r="78" spans="1:13" s="2" customFormat="1">
      <c r="A78" s="42">
        <v>86</v>
      </c>
      <c r="B78" s="23" t="s">
        <v>386</v>
      </c>
      <c r="C78" s="23"/>
      <c r="D78" s="23"/>
      <c r="E78" s="23">
        <f>SUM(E74:E77)</f>
        <v>339530</v>
      </c>
      <c r="F78" s="23">
        <f>SUM(F74:F77)</f>
        <v>342612</v>
      </c>
      <c r="G78" s="23">
        <f t="shared" ref="G78" si="30">+E78-F78</f>
        <v>-3082</v>
      </c>
      <c r="H78" s="24">
        <f>IF(F78=0,"NA",(+E78-F78)/F78)</f>
        <v>-8.9955985196081868E-3</v>
      </c>
      <c r="J78" s="23">
        <f>SUM(J74:J77)</f>
        <v>233616.83000000002</v>
      </c>
      <c r="K78" s="23">
        <f>SUM(K74:K77)</f>
        <v>284425.46999999997</v>
      </c>
      <c r="L78" s="24">
        <f>IF(K78=0,"NA",(+J78-K78)/K78)</f>
        <v>-0.17863604127998789</v>
      </c>
      <c r="M78" s="301"/>
    </row>
    <row r="79" spans="1:13" ht="23" customHeight="1">
      <c r="A79" s="42">
        <v>130</v>
      </c>
      <c r="B79" s="6" t="str">
        <f>+'New Year-Full Year'!B138</f>
        <v>Facilities</v>
      </c>
      <c r="H79" s="38"/>
    </row>
    <row r="80" spans="1:13" ht="19.5" customHeight="1">
      <c r="A80" s="42">
        <v>131</v>
      </c>
      <c r="B80" s="882" t="str">
        <f>+'New Year-Full Year'!B139</f>
        <v>Utilities</v>
      </c>
      <c r="H80" s="38"/>
    </row>
    <row r="81" spans="1:12">
      <c r="A81" s="42">
        <v>132</v>
      </c>
      <c r="C81" s="1" t="str">
        <f>+'New Year-Full Year'!C140</f>
        <v>Electric</v>
      </c>
      <c r="E81" s="37">
        <f>+'New Year-Full Year'!P140</f>
        <v>11000</v>
      </c>
      <c r="F81" s="37">
        <f>+'New Year-Full Year'!Q140</f>
        <v>12000</v>
      </c>
      <c r="G81" s="37">
        <f t="shared" ref="G81:G86" si="31">+E81-F81</f>
        <v>-1000</v>
      </c>
      <c r="H81" s="3">
        <f t="shared" ref="H81:H87" si="32">IF(F81=0,"NA",(+E81-F81)/F81)</f>
        <v>-8.3333333333333329E-2</v>
      </c>
      <c r="J81" s="37">
        <f>+'New Year-Full Year'!U140</f>
        <v>8279.19</v>
      </c>
      <c r="K81" s="37">
        <f>+'New Year-Full Year'!V140</f>
        <v>10000</v>
      </c>
      <c r="L81" s="3">
        <f t="shared" ref="L81:L87" si="33">IF(K81=0,"NA",(+J81-K81)/K81)</f>
        <v>-0.17208099999999996</v>
      </c>
    </row>
    <row r="82" spans="1:12">
      <c r="A82" s="42">
        <v>133</v>
      </c>
      <c r="C82" s="1" t="str">
        <f>+'New Year-Full Year'!C141</f>
        <v>Gas</v>
      </c>
      <c r="E82" s="37">
        <f>+'New Year-Full Year'!P141</f>
        <v>8400</v>
      </c>
      <c r="F82" s="37">
        <f>+'New Year-Full Year'!Q141</f>
        <v>10000</v>
      </c>
      <c r="G82" s="37">
        <f t="shared" si="31"/>
        <v>-1600</v>
      </c>
      <c r="H82" s="3">
        <f t="shared" si="32"/>
        <v>-0.16</v>
      </c>
      <c r="J82" s="37">
        <f>+'New Year-Full Year'!U141</f>
        <v>7000</v>
      </c>
      <c r="K82" s="37">
        <f>+'New Year-Full Year'!V141</f>
        <v>8333.2999999999993</v>
      </c>
      <c r="L82" s="3">
        <f t="shared" si="33"/>
        <v>-0.15999663998655989</v>
      </c>
    </row>
    <row r="83" spans="1:12">
      <c r="A83" s="42">
        <v>134</v>
      </c>
      <c r="C83" s="1" t="str">
        <f>+'New Year-Full Year'!C142</f>
        <v>Telephone</v>
      </c>
      <c r="E83" s="37">
        <f>+'New Year-Full Year'!P142</f>
        <v>4800</v>
      </c>
      <c r="F83" s="37">
        <f>+'New Year-Full Year'!Q142</f>
        <v>4400</v>
      </c>
      <c r="G83" s="37">
        <f t="shared" si="31"/>
        <v>400</v>
      </c>
      <c r="H83" s="3">
        <f t="shared" si="32"/>
        <v>9.0909090909090912E-2</v>
      </c>
      <c r="J83" s="37">
        <f>+'New Year-Full Year'!U142</f>
        <v>3965.14</v>
      </c>
      <c r="K83" s="37">
        <f>+'New Year-Full Year'!V142</f>
        <v>3666.7</v>
      </c>
      <c r="L83" s="3">
        <f t="shared" si="33"/>
        <v>8.13919873455696E-2</v>
      </c>
    </row>
    <row r="84" spans="1:12">
      <c r="A84" s="42">
        <v>135</v>
      </c>
      <c r="C84" s="1" t="str">
        <f>+'New Year-Full Year'!C143</f>
        <v>Water</v>
      </c>
      <c r="E84" s="37">
        <f>+'New Year-Full Year'!P143</f>
        <v>1800</v>
      </c>
      <c r="F84" s="37">
        <f>+'New Year-Full Year'!Q143</f>
        <v>1000</v>
      </c>
      <c r="G84" s="37">
        <f t="shared" si="31"/>
        <v>800</v>
      </c>
      <c r="H84" s="3">
        <f t="shared" si="32"/>
        <v>0.8</v>
      </c>
      <c r="J84" s="37">
        <f>+'New Year-Full Year'!U143</f>
        <v>1201.98</v>
      </c>
      <c r="K84" s="37">
        <f>+'New Year-Full Year'!V143</f>
        <v>1000</v>
      </c>
      <c r="L84" s="3">
        <f t="shared" si="33"/>
        <v>0.20198000000000002</v>
      </c>
    </row>
    <row r="85" spans="1:12">
      <c r="A85" s="42">
        <v>136</v>
      </c>
      <c r="C85" s="1" t="str">
        <f>+'New Year-Full Year'!C144</f>
        <v>Security</v>
      </c>
      <c r="E85" s="37">
        <f>+'New Year-Full Year'!P144</f>
        <v>350</v>
      </c>
      <c r="F85" s="37">
        <f>+'New Year-Full Year'!Q144</f>
        <v>350</v>
      </c>
      <c r="G85" s="37">
        <f t="shared" si="31"/>
        <v>0</v>
      </c>
      <c r="H85" s="3">
        <f t="shared" si="32"/>
        <v>0</v>
      </c>
      <c r="J85" s="37">
        <f>+'New Year-Full Year'!U144</f>
        <v>263.39999999999998</v>
      </c>
      <c r="K85" s="37">
        <f>+'New Year-Full Year'!V144</f>
        <v>291.7</v>
      </c>
      <c r="L85" s="3">
        <f t="shared" si="33"/>
        <v>-9.7017483716146768E-2</v>
      </c>
    </row>
    <row r="86" spans="1:12">
      <c r="A86" s="42">
        <v>138</v>
      </c>
      <c r="C86" s="1" t="str">
        <f>+'New Year-Full Year'!C145</f>
        <v>City Assessment</v>
      </c>
      <c r="E86" s="37">
        <f>+'New Year-Full Year'!P145</f>
        <v>6052</v>
      </c>
      <c r="F86" s="37">
        <f>+'New Year-Full Year'!Q145</f>
        <v>5200</v>
      </c>
      <c r="G86" s="37">
        <f t="shared" si="31"/>
        <v>852</v>
      </c>
      <c r="H86" s="3">
        <f t="shared" si="32"/>
        <v>0.16384615384615384</v>
      </c>
      <c r="J86" s="37">
        <f>+'New Year-Full Year'!U145</f>
        <v>5922.54</v>
      </c>
      <c r="K86" s="37">
        <f>+'New Year-Full Year'!V145</f>
        <v>5200</v>
      </c>
      <c r="L86" s="3">
        <f t="shared" si="33"/>
        <v>0.13894999999999999</v>
      </c>
    </row>
    <row r="87" spans="1:12" s="2" customFormat="1">
      <c r="A87" s="42">
        <v>139</v>
      </c>
      <c r="B87" s="26" t="str">
        <f>+'New Year-Full Year'!B146</f>
        <v>Total Utilities</v>
      </c>
      <c r="C87" s="26"/>
      <c r="D87" s="26"/>
      <c r="E87" s="26">
        <f>SUM(E81:E86)</f>
        <v>32402</v>
      </c>
      <c r="F87" s="26">
        <f>SUM(F81:F86)</f>
        <v>32950</v>
      </c>
      <c r="G87" s="26">
        <f>SUM(G81:G86)</f>
        <v>-548</v>
      </c>
      <c r="H87" s="27">
        <f t="shared" si="32"/>
        <v>-1.6631259484066768E-2</v>
      </c>
      <c r="J87" s="26">
        <f>SUM(J81:J86)</f>
        <v>26632.250000000004</v>
      </c>
      <c r="K87" s="26">
        <f>SUM(K81:K86)</f>
        <v>28491.7</v>
      </c>
      <c r="L87" s="27">
        <f t="shared" si="33"/>
        <v>-6.5262866027650052E-2</v>
      </c>
    </row>
    <row r="88" spans="1:12" ht="19.5" customHeight="1">
      <c r="A88" s="42">
        <v>141</v>
      </c>
      <c r="B88" s="882" t="str">
        <f>+'New Year-Full Year'!B147</f>
        <v>Church Maintenance</v>
      </c>
      <c r="H88" s="38"/>
    </row>
    <row r="89" spans="1:12">
      <c r="A89" s="42">
        <v>142</v>
      </c>
      <c r="C89" s="1" t="str">
        <f>+'New Year-Full Year'!C148</f>
        <v>Insurance</v>
      </c>
      <c r="E89" s="37">
        <f>+'New Year-Full Year'!P148</f>
        <v>13400</v>
      </c>
      <c r="F89" s="37">
        <f>+'New Year-Full Year'!Q148</f>
        <v>12758</v>
      </c>
      <c r="G89" s="37">
        <f t="shared" ref="G89:G93" si="34">+E89-F89</f>
        <v>642</v>
      </c>
      <c r="H89" s="3">
        <f t="shared" ref="H89:H96" si="35">IF(F89=0,"NA",(+E89-F89)/F89)</f>
        <v>5.0321366985420911E-2</v>
      </c>
      <c r="J89" s="37">
        <f>+'New Year-Full Year'!U148</f>
        <v>9639.25</v>
      </c>
      <c r="K89" s="37">
        <f>+'New Year-Full Year'!V148</f>
        <v>9568.5</v>
      </c>
      <c r="L89" s="3">
        <f t="shared" ref="L89:L96" si="36">IF(K89=0,"NA",(+J89-K89)/K89)</f>
        <v>7.3940534043998533E-3</v>
      </c>
    </row>
    <row r="90" spans="1:12">
      <c r="A90" s="42">
        <v>143</v>
      </c>
      <c r="C90" s="1" t="str">
        <f>+'New Year-Full Year'!C150</f>
        <v>Snow Removal</v>
      </c>
      <c r="E90" s="37">
        <f>+'New Year-Full Year'!P150</f>
        <v>6000</v>
      </c>
      <c r="F90" s="37">
        <f>+'New Year-Full Year'!Q150</f>
        <v>5000</v>
      </c>
      <c r="G90" s="37">
        <f t="shared" si="34"/>
        <v>1000</v>
      </c>
      <c r="H90" s="3">
        <f t="shared" si="35"/>
        <v>0.2</v>
      </c>
      <c r="J90" s="37">
        <f>+'New Year-Full Year'!U150</f>
        <v>4683.2</v>
      </c>
      <c r="K90" s="37">
        <f>+'New Year-Full Year'!V150</f>
        <v>3333.32</v>
      </c>
      <c r="L90" s="3">
        <f t="shared" si="36"/>
        <v>0.40496561986247931</v>
      </c>
    </row>
    <row r="91" spans="1:12">
      <c r="A91" s="42">
        <v>144</v>
      </c>
      <c r="C91" s="1" t="str">
        <f>+'New Year-Full Year'!C151</f>
        <v>Maint.  Supplies</v>
      </c>
      <c r="E91" s="37">
        <f>+'New Year-Full Year'!P151</f>
        <v>4500</v>
      </c>
      <c r="F91" s="37">
        <f>+'New Year-Full Year'!Q151</f>
        <v>4500</v>
      </c>
      <c r="G91" s="37">
        <f t="shared" si="34"/>
        <v>0</v>
      </c>
      <c r="H91" s="3">
        <f t="shared" si="35"/>
        <v>0</v>
      </c>
      <c r="J91" s="37">
        <f>+'New Year-Full Year'!U151</f>
        <v>2623.8</v>
      </c>
      <c r="K91" s="37">
        <f>+'New Year-Full Year'!V151</f>
        <v>3750</v>
      </c>
      <c r="L91" s="3">
        <f t="shared" si="36"/>
        <v>-0.30031999999999998</v>
      </c>
    </row>
    <row r="92" spans="1:12" ht="15" customHeight="1">
      <c r="A92" s="42">
        <v>145</v>
      </c>
      <c r="C92" s="1" t="str">
        <f>+'New Year-Full Year'!C152</f>
        <v>Maintenance Contracts</v>
      </c>
      <c r="D92" s="73"/>
      <c r="E92" s="37">
        <f>+'New Year-Full Year'!P152</f>
        <v>6000</v>
      </c>
      <c r="F92" s="37">
        <f>+'New Year-Full Year'!Q152</f>
        <v>6000</v>
      </c>
      <c r="G92" s="37">
        <f t="shared" si="34"/>
        <v>0</v>
      </c>
      <c r="H92" s="3">
        <f t="shared" si="35"/>
        <v>0</v>
      </c>
      <c r="J92" s="37">
        <f>+'New Year-Full Year'!U152</f>
        <v>4780.12</v>
      </c>
      <c r="K92" s="37">
        <f>+'New Year-Full Year'!V152</f>
        <v>5000</v>
      </c>
      <c r="L92" s="3">
        <f t="shared" si="36"/>
        <v>-4.3976000000000022E-2</v>
      </c>
    </row>
    <row r="93" spans="1:12">
      <c r="A93" s="42">
        <v>146</v>
      </c>
      <c r="C93" s="1" t="str">
        <f>+'New Year-Full Year'!C153</f>
        <v>Building Repairs</v>
      </c>
      <c r="E93" s="37">
        <f>+'New Year-Full Year'!P153</f>
        <v>10000</v>
      </c>
      <c r="F93" s="37">
        <f>+'New Year-Full Year'!Q153</f>
        <v>10000</v>
      </c>
      <c r="G93" s="37">
        <f t="shared" si="34"/>
        <v>0</v>
      </c>
      <c r="H93" s="3">
        <f t="shared" si="35"/>
        <v>0</v>
      </c>
      <c r="J93" s="37">
        <f>+'New Year-Full Year'!U153</f>
        <v>1222.2</v>
      </c>
      <c r="K93" s="37">
        <f>+'New Year-Full Year'!V153</f>
        <v>8333.2999999999993</v>
      </c>
      <c r="L93" s="3">
        <f t="shared" si="36"/>
        <v>-0.85333541334165341</v>
      </c>
    </row>
    <row r="94" spans="1:12" hidden="1">
      <c r="A94" s="42">
        <v>149</v>
      </c>
      <c r="C94" s="1" t="str">
        <f>+'New Year-Full Year'!C154</f>
        <v>Interest-Line of Credit</v>
      </c>
      <c r="E94" s="37">
        <f>+'New Year-Full Year'!P154</f>
        <v>0</v>
      </c>
      <c r="F94" s="37">
        <f>+'New Year-Full Year'!Q154</f>
        <v>0</v>
      </c>
      <c r="G94" s="37"/>
      <c r="H94" s="3" t="str">
        <f t="shared" si="35"/>
        <v>NA</v>
      </c>
      <c r="J94" s="37">
        <f>+'New Year-Full Year'!U154</f>
        <v>0</v>
      </c>
      <c r="K94" s="37">
        <f>+'New Year-Full Year'!V154</f>
        <v>0</v>
      </c>
      <c r="L94" s="3" t="str">
        <f t="shared" si="36"/>
        <v>NA</v>
      </c>
    </row>
    <row r="95" spans="1:12" s="2" customFormat="1">
      <c r="A95" s="42">
        <v>150</v>
      </c>
      <c r="B95" s="26" t="str">
        <f>+'New Year-Full Year'!B155</f>
        <v>Total Church Maintenance</v>
      </c>
      <c r="C95" s="26"/>
      <c r="D95" s="26"/>
      <c r="E95" s="26">
        <f>SUM(E89:E94)</f>
        <v>39900</v>
      </c>
      <c r="F95" s="26">
        <f>SUM(F89:F94)</f>
        <v>38258</v>
      </c>
      <c r="G95" s="26">
        <f>SUM(G89:G94)</f>
        <v>1642</v>
      </c>
      <c r="H95" s="27">
        <f t="shared" si="35"/>
        <v>4.2919128025511004E-2</v>
      </c>
      <c r="J95" s="26">
        <f>SUM(J89:J94)</f>
        <v>22948.57</v>
      </c>
      <c r="K95" s="26">
        <f>SUM(K89:K94)</f>
        <v>29985.119999999999</v>
      </c>
      <c r="L95" s="27">
        <f t="shared" si="36"/>
        <v>-0.23466806202543125</v>
      </c>
    </row>
    <row r="96" spans="1:12">
      <c r="A96" s="42">
        <v>151</v>
      </c>
      <c r="B96" s="26" t="str">
        <f>+'New Year-Full Year'!B156</f>
        <v>TOTAL FACILITIES</v>
      </c>
      <c r="C96" s="26"/>
      <c r="D96" s="26"/>
      <c r="E96" s="26">
        <f>+E87+E95</f>
        <v>72302</v>
      </c>
      <c r="F96" s="26">
        <f>+F87+F95</f>
        <v>71208</v>
      </c>
      <c r="G96" s="26">
        <f>+G87+G95</f>
        <v>1094</v>
      </c>
      <c r="H96" s="27">
        <f t="shared" si="35"/>
        <v>1.5363442309852825E-2</v>
      </c>
      <c r="J96" s="26">
        <f>+J87+J95</f>
        <v>49580.820000000007</v>
      </c>
      <c r="K96" s="26">
        <f>+K87+K95</f>
        <v>58476.82</v>
      </c>
      <c r="L96" s="27">
        <f t="shared" si="36"/>
        <v>-0.15212865542278106</v>
      </c>
    </row>
    <row r="97" spans="1:12" ht="23" customHeight="1">
      <c r="A97" s="42">
        <v>154</v>
      </c>
      <c r="B97" s="778" t="str">
        <f>+'New Year-Full Year'!B157</f>
        <v>Restricted Funds</v>
      </c>
      <c r="H97" s="38"/>
    </row>
    <row r="98" spans="1:12">
      <c r="A98" s="42">
        <v>155</v>
      </c>
      <c r="C98" s="1" t="str">
        <f>'New Year-Full Year'!C158</f>
        <v>Operating Fund Reserve</v>
      </c>
      <c r="E98" s="37">
        <f>SUM('New Year-Full Year'!P158:P158)</f>
        <v>-23257</v>
      </c>
      <c r="F98" s="37">
        <f>SUM('New Year-Full Year'!Q158:Q158)</f>
        <v>-8185</v>
      </c>
      <c r="G98" s="37">
        <f t="shared" ref="G98:G102" si="37">+E98-F98</f>
        <v>-15072</v>
      </c>
      <c r="H98" s="3">
        <f t="shared" ref="H98:H104" si="38">IF(F98=0,"NA",(+E98-F98)/F98)</f>
        <v>1.8414172266340867</v>
      </c>
      <c r="J98" s="37">
        <f>SUM('New Year-Full Year'!U158:U158)</f>
        <v>28100</v>
      </c>
      <c r="K98" s="37">
        <f>SUM('New Year-Full Year'!V158:V158)</f>
        <v>0</v>
      </c>
      <c r="L98" s="3" t="str">
        <f t="shared" ref="L98:L104" si="39">IF(K98=0,"NA",(+J98-K98)/K98)</f>
        <v>NA</v>
      </c>
    </row>
    <row r="99" spans="1:12" hidden="1">
      <c r="C99" s="1" t="str">
        <f>'New Year-Full Year'!C159</f>
        <v>Pastor Transition</v>
      </c>
      <c r="E99" s="37">
        <f>SUM('New Year-Full Year'!P159:P159)</f>
        <v>0</v>
      </c>
      <c r="F99" s="37">
        <f>SUM('New Year-Full Year'!Q159:Q159)</f>
        <v>0</v>
      </c>
      <c r="G99" s="37">
        <f t="shared" si="37"/>
        <v>0</v>
      </c>
      <c r="H99" s="3" t="str">
        <f>IF(F99=0,"NA",(+E99-F99)/F99)</f>
        <v>NA</v>
      </c>
      <c r="J99" s="37">
        <f>SUM('New Year-Full Year'!U159:U159)</f>
        <v>0</v>
      </c>
      <c r="K99" s="37">
        <f>SUM('New Year-Full Year'!V159:V159)</f>
        <v>0</v>
      </c>
      <c r="L99" s="3" t="str">
        <f>IF(K99=0,"NA",(+J99-K99)/K99)</f>
        <v>NA</v>
      </c>
    </row>
    <row r="100" spans="1:12" ht="14.5" hidden="1" customHeight="1">
      <c r="A100" s="42">
        <v>156</v>
      </c>
      <c r="C100" s="1" t="str">
        <f>'New Year-Full Year'!C160</f>
        <v>Facilities Fund Reserve</v>
      </c>
      <c r="E100" s="37">
        <f>+'New Year-Full Year'!P160</f>
        <v>0</v>
      </c>
      <c r="F100" s="37">
        <f>+'New Year-Full Year'!Q160</f>
        <v>0</v>
      </c>
      <c r="G100" s="37">
        <f t="shared" si="37"/>
        <v>0</v>
      </c>
      <c r="H100" s="3" t="str">
        <f t="shared" si="38"/>
        <v>NA</v>
      </c>
      <c r="J100" s="37">
        <f>+'New Year-Full Year'!U160</f>
        <v>0</v>
      </c>
      <c r="K100" s="37">
        <f>+'New Year-Full Year'!V160</f>
        <v>0</v>
      </c>
      <c r="L100" s="3" t="str">
        <f t="shared" si="39"/>
        <v>NA</v>
      </c>
    </row>
    <row r="101" spans="1:12" ht="14.5" hidden="1" customHeight="1">
      <c r="A101" s="42">
        <v>157</v>
      </c>
      <c r="C101" s="1" t="str">
        <f>'New Year-Full Year'!C161</f>
        <v>Facilities Maintenance</v>
      </c>
      <c r="E101" s="37">
        <f>+'New Year-Full Year'!P161</f>
        <v>0</v>
      </c>
      <c r="F101" s="37">
        <f>+'New Year-Full Year'!Q161</f>
        <v>0</v>
      </c>
      <c r="G101" s="37">
        <f t="shared" si="37"/>
        <v>0</v>
      </c>
      <c r="H101" s="3" t="str">
        <f t="shared" si="38"/>
        <v>NA</v>
      </c>
      <c r="J101" s="37">
        <f>+'New Year-Full Year'!U161</f>
        <v>0</v>
      </c>
      <c r="K101" s="37">
        <f>+'New Year-Full Year'!V161</f>
        <v>0</v>
      </c>
      <c r="L101" s="777" t="s">
        <v>455</v>
      </c>
    </row>
    <row r="102" spans="1:12">
      <c r="C102" s="1" t="s">
        <v>173</v>
      </c>
      <c r="E102" s="37">
        <f>+'New Year-Full Year'!P162</f>
        <v>0</v>
      </c>
      <c r="F102" s="37">
        <f>+'New Year-Full Year'!Q162</f>
        <v>0</v>
      </c>
      <c r="G102" s="37">
        <f t="shared" si="37"/>
        <v>0</v>
      </c>
      <c r="H102" s="3" t="str">
        <f t="shared" si="38"/>
        <v>NA</v>
      </c>
      <c r="J102" s="37">
        <f>+'New Year-Full Year'!U162</f>
        <v>28100</v>
      </c>
      <c r="K102" s="37">
        <f>+'New Year-Full Year'!V162</f>
        <v>0</v>
      </c>
      <c r="L102" s="3" t="str">
        <f t="shared" si="39"/>
        <v>NA</v>
      </c>
    </row>
    <row r="103" spans="1:12" hidden="1">
      <c r="A103" s="42">
        <v>158</v>
      </c>
      <c r="C103" s="1" t="str">
        <f>'New Year-Full Year'!C163</f>
        <v>Line of Credit Payment</v>
      </c>
      <c r="E103" s="37">
        <f>+'New Year-Full Year'!P163</f>
        <v>0</v>
      </c>
      <c r="F103" s="37">
        <f>+'New Year-Full Year'!Q163</f>
        <v>0</v>
      </c>
      <c r="G103" s="37"/>
      <c r="H103" s="3" t="str">
        <f t="shared" si="38"/>
        <v>NA</v>
      </c>
      <c r="J103" s="37">
        <f>+'New Year-Full Year'!U163</f>
        <v>0</v>
      </c>
      <c r="K103" s="37">
        <f>+'New Year-Full Year'!V163</f>
        <v>0</v>
      </c>
      <c r="L103" s="3" t="str">
        <f t="shared" si="39"/>
        <v>NA</v>
      </c>
    </row>
    <row r="104" spans="1:12" s="2" customFormat="1">
      <c r="A104" s="42">
        <v>159</v>
      </c>
      <c r="B104" s="28" t="str">
        <f>+'New Year-Full Year'!B164</f>
        <v>Total Restricted Funds</v>
      </c>
      <c r="C104" s="28"/>
      <c r="D104" s="28"/>
      <c r="E104" s="28">
        <f>SUM(E98:E103)</f>
        <v>-23257</v>
      </c>
      <c r="F104" s="28">
        <f>SUM(F98:F103)</f>
        <v>-8185</v>
      </c>
      <c r="G104" s="28">
        <f>SUM(G98:G103)</f>
        <v>-15072</v>
      </c>
      <c r="H104" s="29">
        <f t="shared" si="38"/>
        <v>1.8414172266340867</v>
      </c>
      <c r="J104" s="28">
        <f>SUM(J98:J103)</f>
        <v>56200</v>
      </c>
      <c r="K104" s="28">
        <f>SUM(K98:K103)</f>
        <v>0</v>
      </c>
      <c r="L104" s="29" t="str">
        <f t="shared" si="39"/>
        <v>NA</v>
      </c>
    </row>
    <row r="105" spans="1:12" ht="7.5" customHeight="1">
      <c r="A105" s="42">
        <v>160</v>
      </c>
      <c r="H105" s="38"/>
    </row>
    <row r="106" spans="1:12">
      <c r="A106" s="42">
        <v>161</v>
      </c>
      <c r="B106" s="30" t="str">
        <f>+'New Year-Full Year'!B166</f>
        <v>TOTAL EXPENSES</v>
      </c>
      <c r="C106" s="31"/>
      <c r="D106" s="31"/>
      <c r="E106" s="30">
        <f>+E71+E96+E104+E31+E78</f>
        <v>458000</v>
      </c>
      <c r="F106" s="30">
        <f>+F71+F96+F104+F31+F78</f>
        <v>498500</v>
      </c>
      <c r="G106" s="30">
        <f>+G71+G96+G104+G31+G78</f>
        <v>-40500</v>
      </c>
      <c r="H106" s="32">
        <f>IF(F106=0,"NA",(+E106-F106)/F106)</f>
        <v>-8.1243731193580748E-2</v>
      </c>
      <c r="J106" s="30">
        <f>+J71+J96+J104+J31+J78</f>
        <v>393057.37</v>
      </c>
      <c r="K106" s="30">
        <f>+K71+K96+K104+K31+K78</f>
        <v>419499.56999999995</v>
      </c>
      <c r="L106" s="32">
        <f>IF(K106=0,"NA",(+J106-K106)/K106)</f>
        <v>-6.3032722536521216E-2</v>
      </c>
    </row>
    <row r="107" spans="1:12">
      <c r="A107" s="42">
        <v>162</v>
      </c>
      <c r="B107" s="30" t="str">
        <f>+'New Year-Full Year'!B167</f>
        <v>Income less Expense</v>
      </c>
      <c r="C107" s="31"/>
      <c r="D107" s="31"/>
      <c r="E107" s="30">
        <f>ROUND(E19-E106,0)</f>
        <v>0</v>
      </c>
      <c r="F107" s="30">
        <f>ROUND(F19-F106,0)</f>
        <v>0</v>
      </c>
      <c r="G107" s="30">
        <f>ROUND(G19-G106,0)</f>
        <v>0</v>
      </c>
      <c r="H107" s="32" t="str">
        <f>IF(F107=0,"NA",(+E107-F107)/F107)</f>
        <v>NA</v>
      </c>
      <c r="J107" s="30">
        <f>ROUND(J19-J106,0)</f>
        <v>57469</v>
      </c>
      <c r="K107" s="30">
        <f>ROUND(K19-K106,0)</f>
        <v>-6321</v>
      </c>
      <c r="L107" s="32">
        <f>IF(K107=0,"NA",(+J107-K107)/K107)</f>
        <v>-10.091757633285873</v>
      </c>
    </row>
    <row r="108" spans="1:12" ht="7.25" customHeight="1" thickBot="1">
      <c r="H108" s="38"/>
    </row>
    <row r="109" spans="1:12">
      <c r="B109" s="101" t="str">
        <f>+'New Year-Full Year'!B169</f>
        <v>Operating Income</v>
      </c>
      <c r="C109" s="102"/>
      <c r="D109" s="102"/>
      <c r="E109" s="117">
        <f>+E19-E17</f>
        <v>458000</v>
      </c>
      <c r="F109" s="117">
        <f>+F19-F17</f>
        <v>498500</v>
      </c>
      <c r="G109" s="117">
        <f>+G19-G17</f>
        <v>-40500</v>
      </c>
      <c r="H109" s="106">
        <f>IF(F109=0,"NA",(+E109-F109)/F109)</f>
        <v>-8.1243731193580748E-2</v>
      </c>
      <c r="I109" s="103"/>
      <c r="J109" s="117">
        <f>+J19-J17</f>
        <v>450525.95</v>
      </c>
      <c r="K109" s="117">
        <f>+K19-K17</f>
        <v>413178.07</v>
      </c>
      <c r="L109" s="107">
        <f>IF(K109=0,"NA",(+J109-K109)/K109)</f>
        <v>9.039172868008219E-2</v>
      </c>
    </row>
    <row r="110" spans="1:12">
      <c r="B110" s="108" t="str">
        <f>+'New Year-Full Year'!B170</f>
        <v>Operating Expenses</v>
      </c>
      <c r="C110" s="96"/>
      <c r="D110" s="96"/>
      <c r="E110" s="118">
        <f>+E106-E104</f>
        <v>481257</v>
      </c>
      <c r="F110" s="118">
        <f>+F106-F104</f>
        <v>506685</v>
      </c>
      <c r="G110" s="118">
        <f>+G106-G104</f>
        <v>-25428</v>
      </c>
      <c r="H110" s="100">
        <f>IF(F110=0,"NA",(+E110-F110)/F110)</f>
        <v>-5.0185026199709881E-2</v>
      </c>
      <c r="I110" s="97"/>
      <c r="J110" s="118">
        <f>+J106-J104</f>
        <v>336857.37</v>
      </c>
      <c r="K110" s="118">
        <f>+K106-K104</f>
        <v>419499.56999999995</v>
      </c>
      <c r="L110" s="109">
        <f>IF(K110=0,"NA",(+J110-K110)/K110)</f>
        <v>-0.19700187058594593</v>
      </c>
    </row>
    <row r="111" spans="1:12" ht="15" thickBot="1">
      <c r="B111" s="110" t="str">
        <f>+'New Year-Full Year'!B171</f>
        <v>Net Operating Income/(Loss)</v>
      </c>
      <c r="C111" s="111"/>
      <c r="D111" s="111"/>
      <c r="E111" s="119">
        <f>+E109-E110</f>
        <v>-23257</v>
      </c>
      <c r="F111" s="119">
        <f>+F109-F110</f>
        <v>-8185</v>
      </c>
      <c r="G111" s="119">
        <f>+G109-G110</f>
        <v>-15072</v>
      </c>
      <c r="H111" s="776" t="s">
        <v>455</v>
      </c>
      <c r="I111" s="113"/>
      <c r="J111" s="119">
        <f>+J109-J110</f>
        <v>113668.58000000002</v>
      </c>
      <c r="K111" s="119">
        <f>+K109-K110</f>
        <v>-6321.4999999999418</v>
      </c>
      <c r="L111" s="775" t="s">
        <v>455</v>
      </c>
    </row>
    <row r="112" spans="1:12" ht="5" customHeight="1">
      <c r="H112" s="38"/>
    </row>
  </sheetData>
  <mergeCells count="13">
    <mergeCell ref="C77:D77"/>
    <mergeCell ref="B1:L1"/>
    <mergeCell ref="B2:L2"/>
    <mergeCell ref="J3:L3"/>
    <mergeCell ref="E3:H3"/>
    <mergeCell ref="C74:D74"/>
    <mergeCell ref="B33:D33"/>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4"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sheetPr>
    <tabColor rgb="FFFF0000"/>
  </sheetPr>
  <dimension ref="A1:L24"/>
  <sheetViews>
    <sheetView showGridLines="0" tabSelected="1" topLeftCell="A3" workbookViewId="0">
      <selection activeCell="B17" sqref="B17"/>
    </sheetView>
  </sheetViews>
  <sheetFormatPr defaultRowHeight="14.5"/>
  <cols>
    <col min="1" max="1" width="23.453125" customWidth="1"/>
    <col min="2" max="3" width="9.36328125" customWidth="1"/>
    <col min="6" max="6" width="3.1796875" customWidth="1"/>
    <col min="7" max="7" width="10.54296875" customWidth="1"/>
  </cols>
  <sheetData>
    <row r="1" spans="1:12" ht="55.5" customHeight="1"/>
    <row r="2" spans="1:12" ht="21">
      <c r="A2" s="917" t="s">
        <v>409</v>
      </c>
      <c r="B2" s="917"/>
      <c r="C2" s="917"/>
      <c r="D2" s="917"/>
      <c r="E2" s="917"/>
      <c r="F2" s="917"/>
      <c r="G2" s="917"/>
      <c r="H2" s="700"/>
    </row>
    <row r="3" spans="1:12" ht="15" thickBot="1"/>
    <row r="4" spans="1:12" ht="44.5" thickTop="1" thickBot="1">
      <c r="B4" s="719" t="s">
        <v>592</v>
      </c>
      <c r="C4" s="720" t="s">
        <v>593</v>
      </c>
      <c r="D4" s="720" t="s">
        <v>367</v>
      </c>
      <c r="E4" s="721" t="s">
        <v>602</v>
      </c>
    </row>
    <row r="5" spans="1:12" ht="15" thickTop="1">
      <c r="A5" s="718" t="s">
        <v>411</v>
      </c>
      <c r="B5" s="704">
        <f>ROUND(+'New Year-Full Year'!P19,0)</f>
        <v>458000</v>
      </c>
      <c r="C5" s="704">
        <f>ROUND(+'New Year-Full Year'!U19,0)</f>
        <v>450526</v>
      </c>
      <c r="D5" s="704">
        <f>ROUND(+'New Year-Full Year'!Q19,0)</f>
        <v>498500</v>
      </c>
      <c r="E5" s="705">
        <v>482636</v>
      </c>
      <c r="K5" s="702"/>
    </row>
    <row r="6" spans="1:12">
      <c r="A6" s="706"/>
      <c r="B6" s="701"/>
      <c r="C6" s="701"/>
      <c r="D6" s="701"/>
      <c r="E6" s="707"/>
    </row>
    <row r="7" spans="1:12">
      <c r="A7" s="703" t="s">
        <v>412</v>
      </c>
      <c r="B7" s="701"/>
      <c r="C7" s="701"/>
      <c r="D7" s="701"/>
      <c r="E7" s="707"/>
    </row>
    <row r="8" spans="1:12">
      <c r="A8" s="706" t="s">
        <v>414</v>
      </c>
      <c r="B8" s="708">
        <f>ROUND(+'New Year-Full Year'!P31,0)</f>
        <v>27750</v>
      </c>
      <c r="C8" s="708">
        <f>ROUND(+'New Year-Full Year'!U31,0)</f>
        <v>32429</v>
      </c>
      <c r="D8" s="708">
        <f>ROUND(+'New Year-Full Year'!Q31,0)</f>
        <v>40040</v>
      </c>
      <c r="E8" s="709">
        <v>46540</v>
      </c>
      <c r="J8" s="578"/>
      <c r="K8" s="578"/>
      <c r="L8" s="578"/>
    </row>
    <row r="9" spans="1:12">
      <c r="A9" s="706" t="s">
        <v>415</v>
      </c>
      <c r="B9" s="708">
        <f>ROUND(+'New Year-Full Year'!P77,0)</f>
        <v>41675</v>
      </c>
      <c r="C9" s="708">
        <f>ROUND(+'New Year-Full Year'!U77,0)</f>
        <v>21231</v>
      </c>
      <c r="D9" s="708">
        <f>ROUND(+'New Year-Full Year'!Q77,0)</f>
        <v>52825</v>
      </c>
      <c r="E9" s="709">
        <v>31956</v>
      </c>
    </row>
    <row r="10" spans="1:12">
      <c r="A10" s="706" t="s">
        <v>416</v>
      </c>
      <c r="B10" s="708">
        <f>ROUND(+'New Year-Full Year'!P137,0)</f>
        <v>339530</v>
      </c>
      <c r="C10" s="708">
        <f>ROUND(+'New Year-Full Year'!U137,0)</f>
        <v>233617</v>
      </c>
      <c r="D10" s="708">
        <f>ROUND(+'New Year-Full Year'!Q137,0)</f>
        <v>342612</v>
      </c>
      <c r="E10" s="709">
        <v>266795</v>
      </c>
    </row>
    <row r="11" spans="1:12" ht="16">
      <c r="A11" s="706" t="s">
        <v>417</v>
      </c>
      <c r="B11" s="710">
        <f>ROUND(+'New Year-Full Year'!P156,0)</f>
        <v>72302</v>
      </c>
      <c r="C11" s="710">
        <f>ROUND(+'New Year-Full Year'!U156,0)</f>
        <v>49581</v>
      </c>
      <c r="D11" s="710">
        <f>ROUND(+'New Year-Full Year'!Q156,0)</f>
        <v>71208</v>
      </c>
      <c r="E11" s="711">
        <v>67753</v>
      </c>
    </row>
    <row r="12" spans="1:12">
      <c r="A12" s="703" t="s">
        <v>413</v>
      </c>
      <c r="B12" s="704">
        <f>SUM(B8:B11)</f>
        <v>481257</v>
      </c>
      <c r="C12" s="704">
        <f t="shared" ref="C12:E12" si="0">SUM(C8:C11)</f>
        <v>336858</v>
      </c>
      <c r="D12" s="704">
        <f t="shared" si="0"/>
        <v>506685</v>
      </c>
      <c r="E12" s="712">
        <f t="shared" si="0"/>
        <v>413044</v>
      </c>
    </row>
    <row r="13" spans="1:12" ht="15" thickBot="1">
      <c r="A13" s="706"/>
      <c r="B13" s="701"/>
      <c r="C13" s="701"/>
      <c r="D13" s="701"/>
      <c r="E13" s="707"/>
    </row>
    <row r="14" spans="1:12" ht="15" thickTop="1">
      <c r="A14" s="703" t="s">
        <v>410</v>
      </c>
      <c r="B14" s="704">
        <f>+B5-B12</f>
        <v>-23257</v>
      </c>
      <c r="C14" s="704">
        <f t="shared" ref="C14:E14" si="1">+C5-C12</f>
        <v>113668</v>
      </c>
      <c r="D14" s="704">
        <f t="shared" si="1"/>
        <v>-8185</v>
      </c>
      <c r="E14" s="712">
        <f t="shared" si="1"/>
        <v>69592</v>
      </c>
      <c r="G14" s="914" t="s">
        <v>456</v>
      </c>
    </row>
    <row r="15" spans="1:12">
      <c r="A15" s="706"/>
      <c r="B15" s="701"/>
      <c r="C15" s="701"/>
      <c r="D15" s="701"/>
      <c r="E15" s="707"/>
      <c r="G15" s="915"/>
      <c r="H15" s="701"/>
    </row>
    <row r="16" spans="1:12" ht="15" thickBot="1">
      <c r="A16" s="703" t="s">
        <v>418</v>
      </c>
      <c r="B16" s="701"/>
      <c r="C16" s="701"/>
      <c r="D16" s="701"/>
      <c r="E16" s="707"/>
      <c r="G16" s="916"/>
      <c r="H16" s="701"/>
    </row>
    <row r="17" spans="1:8" ht="15" thickTop="1">
      <c r="A17" s="706" t="s">
        <v>419</v>
      </c>
      <c r="B17" s="708">
        <f>ROUND(+'New Year-Full Year'!P158,0)</f>
        <v>-23257</v>
      </c>
      <c r="C17" s="708">
        <f>ROUND(+'New Year-Full Year'!U158,0)</f>
        <v>28100</v>
      </c>
      <c r="D17" s="708">
        <f>ROUND(+'New Year-Full Year'!Q158,0)</f>
        <v>-8185</v>
      </c>
      <c r="E17" s="709">
        <v>19302</v>
      </c>
      <c r="G17" s="779">
        <v>48804.66</v>
      </c>
      <c r="H17" s="701"/>
    </row>
    <row r="18" spans="1:8">
      <c r="A18" s="706" t="s">
        <v>420</v>
      </c>
      <c r="B18" s="708">
        <f>ROUND(+'New Year-Full Year'!P160,0)</f>
        <v>0</v>
      </c>
      <c r="C18" s="708">
        <f>ROUND(+'New Year-Full Year'!U160,0)</f>
        <v>0</v>
      </c>
      <c r="D18" s="708">
        <f>ROUND(+'New Year-Full Year'!Q160,0)</f>
        <v>0</v>
      </c>
      <c r="E18" s="709">
        <v>25522</v>
      </c>
      <c r="G18" s="779">
        <v>194613.05</v>
      </c>
      <c r="H18" s="701"/>
    </row>
    <row r="19" spans="1:8">
      <c r="A19" s="706" t="s">
        <v>421</v>
      </c>
      <c r="B19" s="708">
        <f>ROUND(+'New Year-Full Year'!P161,0)</f>
        <v>0</v>
      </c>
      <c r="C19" s="708">
        <f>ROUND(+'New Year-Full Year'!U161,0)</f>
        <v>0</v>
      </c>
      <c r="D19" s="708">
        <f>ROUND(+'New Year-Full Year'!Q161,0)</f>
        <v>0</v>
      </c>
      <c r="E19" s="709">
        <v>11008</v>
      </c>
      <c r="G19" s="779">
        <v>24773.62</v>
      </c>
      <c r="H19" s="701"/>
    </row>
    <row r="20" spans="1:8" ht="16">
      <c r="A20" s="706" t="s">
        <v>422</v>
      </c>
      <c r="B20" s="710">
        <f>ROUND(+'New Year-Full Year'!P162,0)</f>
        <v>0</v>
      </c>
      <c r="C20" s="710">
        <f>ROUND(+'New Year-Full Year'!U162,0)</f>
        <v>28100</v>
      </c>
      <c r="D20" s="710">
        <f>ROUND(+'New Year-Full Year'!Q162,0)</f>
        <v>0</v>
      </c>
      <c r="E20" s="711">
        <v>13760</v>
      </c>
      <c r="G20" s="780">
        <v>25760</v>
      </c>
      <c r="H20" s="701"/>
    </row>
    <row r="21" spans="1:8" ht="15" thickBot="1">
      <c r="A21" s="703" t="s">
        <v>77</v>
      </c>
      <c r="B21" s="713">
        <f>SUM(B17:B20)</f>
        <v>-23257</v>
      </c>
      <c r="C21" s="713">
        <f t="shared" ref="C21:E21" si="2">SUM(C17:C20)</f>
        <v>56200</v>
      </c>
      <c r="D21" s="713">
        <f t="shared" si="2"/>
        <v>-8185</v>
      </c>
      <c r="E21" s="714">
        <f t="shared" si="2"/>
        <v>69592</v>
      </c>
      <c r="F21" s="702"/>
      <c r="G21" s="782">
        <f t="shared" ref="G21" si="3">SUM(G17:G20)</f>
        <v>293951.33</v>
      </c>
      <c r="H21" s="701"/>
    </row>
    <row r="22" spans="1:8" ht="15" thickTop="1">
      <c r="A22" s="706"/>
      <c r="B22" s="722"/>
      <c r="C22" s="722"/>
      <c r="D22" s="722"/>
      <c r="E22" s="723"/>
    </row>
    <row r="23" spans="1:8" ht="15" thickBot="1">
      <c r="A23" s="715" t="s">
        <v>423</v>
      </c>
      <c r="B23" s="783">
        <f>ROUND(+B14-B21,0)</f>
        <v>0</v>
      </c>
      <c r="C23" s="783">
        <f>ROUND(+C14-C21,0)</f>
        <v>57468</v>
      </c>
      <c r="D23" s="716">
        <f t="shared" ref="D23:E23" si="4">+D14-D21</f>
        <v>0</v>
      </c>
      <c r="E23" s="717">
        <f t="shared" si="4"/>
        <v>0</v>
      </c>
    </row>
    <row r="24" spans="1:8" ht="15" thickTop="1"/>
  </sheetData>
  <mergeCells count="2">
    <mergeCell ref="G14:G16"/>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B050"/>
    <pageSetUpPr fitToPage="1"/>
  </sheetPr>
  <dimension ref="A1:AL219"/>
  <sheetViews>
    <sheetView showGridLines="0" topLeftCell="B3" workbookViewId="0">
      <pane xSplit="14" ySplit="2" topLeftCell="P123" activePane="bottomRight" state="frozen"/>
      <selection activeCell="I112" sqref="I112"/>
      <selection pane="topRight" activeCell="I112" sqref="I112"/>
      <selection pane="bottomLeft" activeCell="I112" sqref="I112"/>
      <selection pane="bottomRight" activeCell="B127" sqref="B127"/>
    </sheetView>
  </sheetViews>
  <sheetFormatPr defaultColWidth="9.08984375" defaultRowHeight="14.5" outlineLevelCol="2"/>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54" customWidth="1"/>
    <col min="25" max="25" width="58.6328125" style="35" hidden="1" customWidth="1"/>
    <col min="26" max="26" width="8.6328125" style="1" customWidth="1"/>
    <col min="27" max="27" width="13" style="1" hidden="1" customWidth="1" outlineLevel="1"/>
    <col min="28" max="29" width="9.08984375" style="1" hidden="1" customWidth="1" outlineLevel="1"/>
    <col min="30" max="37" width="14.6328125" style="1" hidden="1" customWidth="1" outlineLevel="1"/>
    <col min="38" max="38" width="9.08984375" style="1" collapsed="1"/>
    <col min="39" max="16384" width="9.08984375" style="1"/>
  </cols>
  <sheetData>
    <row r="1" spans="1:37" ht="41.25" customHeight="1">
      <c r="B1" s="897" t="s">
        <v>83</v>
      </c>
      <c r="C1" s="897"/>
      <c r="D1" s="897"/>
      <c r="E1" s="897"/>
      <c r="F1" s="897"/>
      <c r="G1" s="897"/>
      <c r="H1" s="897"/>
      <c r="I1" s="897"/>
      <c r="J1" s="897"/>
      <c r="K1" s="897"/>
      <c r="L1" s="897"/>
      <c r="M1" s="897"/>
      <c r="N1" s="897"/>
      <c r="O1" s="897"/>
      <c r="P1" s="897"/>
      <c r="Q1" s="897"/>
      <c r="R1" s="897"/>
      <c r="S1" s="897"/>
      <c r="T1" s="897"/>
      <c r="U1" s="897"/>
      <c r="V1" s="897"/>
      <c r="W1" s="897"/>
      <c r="X1" s="897"/>
      <c r="Y1" s="1"/>
    </row>
    <row r="2" spans="1:37" ht="23.25" customHeight="1">
      <c r="P2" s="902" t="s">
        <v>82</v>
      </c>
      <c r="Q2" s="903"/>
      <c r="R2" s="903"/>
      <c r="S2" s="904"/>
      <c r="U2" s="924" t="str">
        <f>Bud_Yr-1&amp;" Year to Date (YTD)"</f>
        <v>2021 Year to Date (YTD)</v>
      </c>
      <c r="V2" s="925"/>
      <c r="W2" s="926"/>
    </row>
    <row r="3" spans="1:37" ht="27.65" customHeight="1">
      <c r="P3" s="933" t="str">
        <f>Bud_Yr&amp;" Budget"</f>
        <v>2022 Budget</v>
      </c>
      <c r="Q3" s="934" t="str">
        <f>Bud_Yr-1&amp;" Budget"</f>
        <v>2021 Budget</v>
      </c>
      <c r="R3" s="927" t="str">
        <f>Bud_Yr&amp;" Budget vs             "&amp;Bud_Yr-1&amp;" Budget"</f>
        <v>2022 Budget vs             2021 Budget</v>
      </c>
      <c r="S3" s="928"/>
      <c r="T3" s="49"/>
      <c r="U3" s="929" t="s">
        <v>563</v>
      </c>
      <c r="V3" s="931" t="s">
        <v>564</v>
      </c>
      <c r="W3" s="912" t="s">
        <v>81</v>
      </c>
      <c r="AD3" s="920" t="str">
        <f>Bud_Yr&amp;" Budget"</f>
        <v>2022 Budget</v>
      </c>
      <c r="AE3" s="921"/>
      <c r="AF3" s="921"/>
      <c r="AG3" s="922"/>
      <c r="AH3" s="920" t="str">
        <f>+U3</f>
        <v>Oct 2021 YTD Actual</v>
      </c>
      <c r="AI3" s="921"/>
      <c r="AJ3" s="921"/>
      <c r="AK3" s="922"/>
    </row>
    <row r="4" spans="1:37" s="2" customFormat="1">
      <c r="A4" s="43"/>
      <c r="D4" s="14"/>
      <c r="E4" s="77"/>
      <c r="F4" s="78"/>
      <c r="G4" s="78"/>
      <c r="H4" s="78"/>
      <c r="I4" s="78"/>
      <c r="J4" s="78"/>
      <c r="K4" s="78"/>
      <c r="L4" s="78"/>
      <c r="M4" s="78"/>
      <c r="N4" s="78"/>
      <c r="P4" s="920"/>
      <c r="Q4" s="921"/>
      <c r="R4" s="48" t="s">
        <v>108</v>
      </c>
      <c r="S4" s="50" t="s">
        <v>109</v>
      </c>
      <c r="U4" s="930"/>
      <c r="V4" s="932"/>
      <c r="W4" s="913"/>
      <c r="X4" s="55" t="str">
        <f>Bud_Yr&amp;" Budget Notes"</f>
        <v>2022 Budget Notes</v>
      </c>
      <c r="Y4" s="5" t="s">
        <v>110</v>
      </c>
      <c r="AD4" s="381" t="s">
        <v>333</v>
      </c>
      <c r="AE4" s="382" t="s">
        <v>276</v>
      </c>
      <c r="AF4" s="382" t="s">
        <v>277</v>
      </c>
      <c r="AG4" s="382" t="s">
        <v>278</v>
      </c>
      <c r="AH4" s="381" t="s">
        <v>333</v>
      </c>
      <c r="AI4" s="382" t="s">
        <v>276</v>
      </c>
      <c r="AJ4" s="382" t="s">
        <v>277</v>
      </c>
      <c r="AK4" s="382" t="s">
        <v>278</v>
      </c>
    </row>
    <row r="5" spans="1:37" s="2" customFormat="1" ht="23.5">
      <c r="A5" s="43"/>
      <c r="B5" s="880" t="s">
        <v>0</v>
      </c>
      <c r="D5" s="14"/>
      <c r="E5" s="77"/>
      <c r="F5" s="78"/>
      <c r="G5" s="78"/>
      <c r="H5" s="78"/>
      <c r="I5" s="78"/>
      <c r="J5" s="78"/>
      <c r="K5" s="78"/>
      <c r="L5" s="78"/>
      <c r="M5" s="78"/>
      <c r="N5" s="78"/>
      <c r="P5" s="7"/>
      <c r="Q5" s="8"/>
      <c r="R5" s="39"/>
      <c r="S5" s="8"/>
      <c r="U5" s="8"/>
      <c r="V5" s="8"/>
      <c r="W5" s="8"/>
      <c r="X5" s="69"/>
      <c r="Y5" s="56"/>
    </row>
    <row r="6" spans="1:37" s="866" customFormat="1" ht="19.5" customHeight="1">
      <c r="A6" s="865">
        <v>1</v>
      </c>
      <c r="B6" s="882" t="s">
        <v>1</v>
      </c>
      <c r="D6" s="867"/>
      <c r="E6" s="868"/>
      <c r="F6" s="869"/>
      <c r="G6" s="869"/>
      <c r="H6" s="869"/>
      <c r="I6" s="869"/>
      <c r="J6" s="869"/>
      <c r="K6" s="869"/>
      <c r="L6" s="869"/>
      <c r="M6" s="869"/>
      <c r="N6" s="869"/>
      <c r="W6" s="869"/>
      <c r="X6" s="883"/>
      <c r="Y6" s="884"/>
    </row>
    <row r="7" spans="1:37">
      <c r="A7" s="42">
        <v>2</v>
      </c>
      <c r="C7" s="393" t="s">
        <v>1</v>
      </c>
      <c r="D7" s="394"/>
      <c r="E7" s="395"/>
      <c r="F7" s="396"/>
      <c r="G7" s="396"/>
      <c r="H7" s="396"/>
      <c r="I7" s="396"/>
      <c r="J7" s="396"/>
      <c r="K7" s="396"/>
      <c r="L7" s="396"/>
      <c r="M7" s="396"/>
      <c r="N7" s="396"/>
      <c r="O7" s="393"/>
      <c r="P7" s="401">
        <v>445000</v>
      </c>
      <c r="Q7" s="397">
        <v>477000</v>
      </c>
      <c r="R7" s="398">
        <f t="shared" ref="R7:R12" si="0">+P7-Q7</f>
        <v>-32000</v>
      </c>
      <c r="S7" s="399">
        <f t="shared" ref="S7:S13" si="1">IF(Q7=0,"NA",(+P7-Q7)/Q7)</f>
        <v>-6.7085953878406712E-2</v>
      </c>
      <c r="T7" s="393"/>
      <c r="U7" s="397">
        <v>387236.64</v>
      </c>
      <c r="V7" s="397">
        <v>399178.07</v>
      </c>
      <c r="W7" s="399">
        <f t="shared" ref="W7:W13" si="2">IF(V7=0,"NA",(+U7-V7)/V7)</f>
        <v>-2.9915045182717561E-2</v>
      </c>
      <c r="X7" s="639" t="s">
        <v>572</v>
      </c>
      <c r="Y7" s="57" t="s">
        <v>117</v>
      </c>
    </row>
    <row r="8" spans="1:37">
      <c r="C8" s="393"/>
      <c r="D8" s="394"/>
      <c r="E8" s="395"/>
      <c r="F8" s="396"/>
      <c r="G8" s="396"/>
      <c r="H8" s="396"/>
      <c r="I8" s="396"/>
      <c r="J8" s="396"/>
      <c r="K8" s="396"/>
      <c r="L8" s="396"/>
      <c r="M8" s="396"/>
      <c r="N8" s="396"/>
      <c r="O8" s="393"/>
      <c r="P8" s="401"/>
      <c r="Q8" s="397"/>
      <c r="R8" s="398"/>
      <c r="S8" s="399"/>
      <c r="T8" s="393"/>
      <c r="U8" s="397"/>
      <c r="V8" s="397"/>
      <c r="W8" s="399"/>
      <c r="X8" s="400" t="s">
        <v>571</v>
      </c>
      <c r="Y8" s="57"/>
    </row>
    <row r="9" spans="1:37">
      <c r="A9" s="42">
        <v>4</v>
      </c>
      <c r="C9" s="233" t="s">
        <v>2</v>
      </c>
      <c r="D9" s="243"/>
      <c r="E9" s="244"/>
      <c r="F9" s="245"/>
      <c r="G9" s="245"/>
      <c r="H9" s="245"/>
      <c r="I9" s="245"/>
      <c r="J9" s="245"/>
      <c r="K9" s="245"/>
      <c r="L9" s="245"/>
      <c r="M9" s="245"/>
      <c r="N9" s="245"/>
      <c r="O9" s="233"/>
      <c r="P9" s="230">
        <v>2000</v>
      </c>
      <c r="Q9" s="230">
        <v>3500</v>
      </c>
      <c r="R9" s="231">
        <f t="shared" si="0"/>
        <v>-1500</v>
      </c>
      <c r="S9" s="232">
        <f t="shared" si="1"/>
        <v>-0.42857142857142855</v>
      </c>
      <c r="T9" s="233"/>
      <c r="U9" s="230">
        <v>2910</v>
      </c>
      <c r="V9" s="230">
        <v>3500</v>
      </c>
      <c r="W9" s="232">
        <f t="shared" si="2"/>
        <v>-0.16857142857142857</v>
      </c>
      <c r="X9" s="234"/>
      <c r="Y9" s="57"/>
    </row>
    <row r="10" spans="1:37">
      <c r="A10" s="42">
        <v>5</v>
      </c>
      <c r="C10" s="233" t="s">
        <v>3</v>
      </c>
      <c r="D10" s="243"/>
      <c r="E10" s="244"/>
      <c r="F10" s="245"/>
      <c r="G10" s="245"/>
      <c r="H10" s="245"/>
      <c r="I10" s="245"/>
      <c r="J10" s="245"/>
      <c r="K10" s="245"/>
      <c r="L10" s="245"/>
      <c r="M10" s="245"/>
      <c r="N10" s="245"/>
      <c r="O10" s="233"/>
      <c r="P10" s="230">
        <v>500</v>
      </c>
      <c r="Q10" s="230">
        <v>1000</v>
      </c>
      <c r="R10" s="231">
        <f t="shared" si="0"/>
        <v>-500</v>
      </c>
      <c r="S10" s="232">
        <f t="shared" si="1"/>
        <v>-0.5</v>
      </c>
      <c r="T10" s="233"/>
      <c r="U10" s="230">
        <v>25</v>
      </c>
      <c r="V10" s="230">
        <v>0</v>
      </c>
      <c r="W10" s="232" t="str">
        <f t="shared" si="2"/>
        <v>NA</v>
      </c>
      <c r="X10" s="813"/>
      <c r="Y10" s="57"/>
    </row>
    <row r="11" spans="1:37">
      <c r="A11" s="42">
        <v>6</v>
      </c>
      <c r="C11" s="233" t="s">
        <v>4</v>
      </c>
      <c r="D11" s="243"/>
      <c r="E11" s="244"/>
      <c r="F11" s="245"/>
      <c r="G11" s="245"/>
      <c r="H11" s="245"/>
      <c r="I11" s="245"/>
      <c r="J11" s="245"/>
      <c r="K11" s="245"/>
      <c r="L11" s="245"/>
      <c r="M11" s="245"/>
      <c r="N11" s="245"/>
      <c r="O11" s="233"/>
      <c r="P11" s="230">
        <v>5000</v>
      </c>
      <c r="Q11" s="230">
        <v>5000</v>
      </c>
      <c r="R11" s="231">
        <f t="shared" si="0"/>
        <v>0</v>
      </c>
      <c r="S11" s="232">
        <f t="shared" si="1"/>
        <v>0</v>
      </c>
      <c r="T11" s="233"/>
      <c r="U11" s="230">
        <v>25</v>
      </c>
      <c r="V11" s="230">
        <v>0</v>
      </c>
      <c r="W11" s="232" t="str">
        <f t="shared" si="2"/>
        <v>NA</v>
      </c>
      <c r="X11" s="234"/>
      <c r="Y11" s="57"/>
    </row>
    <row r="12" spans="1:37">
      <c r="A12" s="42">
        <v>7</v>
      </c>
      <c r="C12" s="233" t="s">
        <v>5</v>
      </c>
      <c r="D12" s="243"/>
      <c r="E12" s="244"/>
      <c r="F12" s="245"/>
      <c r="G12" s="245"/>
      <c r="H12" s="245"/>
      <c r="I12" s="245"/>
      <c r="J12" s="245"/>
      <c r="K12" s="245"/>
      <c r="L12" s="245"/>
      <c r="M12" s="245"/>
      <c r="N12" s="245"/>
      <c r="O12" s="233"/>
      <c r="P12" s="230">
        <v>1500</v>
      </c>
      <c r="Q12" s="230">
        <v>3000</v>
      </c>
      <c r="R12" s="231">
        <f t="shared" si="0"/>
        <v>-1500</v>
      </c>
      <c r="S12" s="232">
        <f t="shared" si="1"/>
        <v>-0.5</v>
      </c>
      <c r="T12" s="233"/>
      <c r="U12" s="230">
        <v>817</v>
      </c>
      <c r="V12" s="230">
        <v>3000</v>
      </c>
      <c r="W12" s="232">
        <f t="shared" si="2"/>
        <v>-0.72766666666666668</v>
      </c>
      <c r="X12" s="234"/>
      <c r="Y12" s="57"/>
    </row>
    <row r="13" spans="1:37">
      <c r="A13" s="42">
        <v>8</v>
      </c>
      <c r="B13" s="9" t="s">
        <v>6</v>
      </c>
      <c r="C13" s="9"/>
      <c r="D13" s="9"/>
      <c r="E13" s="79"/>
      <c r="F13" s="79"/>
      <c r="G13" s="79"/>
      <c r="H13" s="79"/>
      <c r="I13" s="79"/>
      <c r="J13" s="79"/>
      <c r="K13" s="79"/>
      <c r="L13" s="79"/>
      <c r="M13" s="79"/>
      <c r="N13" s="79"/>
      <c r="O13" s="9"/>
      <c r="P13" s="9">
        <f>SUM(P7:P12)</f>
        <v>454000</v>
      </c>
      <c r="Q13" s="9">
        <f>SUM(Q7:Q12)</f>
        <v>489500</v>
      </c>
      <c r="R13" s="9">
        <f>SUM(R7:R12)</f>
        <v>-35500</v>
      </c>
      <c r="S13" s="10">
        <f t="shared" si="1"/>
        <v>-7.2522982635342181E-2</v>
      </c>
      <c r="U13" s="9">
        <f>SUM(U7:U12)</f>
        <v>391013.64</v>
      </c>
      <c r="V13" s="9">
        <f>SUM(V7:V12)</f>
        <v>405678.07</v>
      </c>
      <c r="W13" s="10">
        <f t="shared" si="2"/>
        <v>-3.6147948544519533E-2</v>
      </c>
      <c r="X13" s="70"/>
      <c r="Y13" s="58"/>
    </row>
    <row r="14" spans="1:37" s="866" customFormat="1" ht="19.5" customHeight="1">
      <c r="A14" s="865">
        <v>10</v>
      </c>
      <c r="B14" s="882" t="s">
        <v>7</v>
      </c>
      <c r="D14" s="867"/>
      <c r="E14" s="868"/>
      <c r="F14" s="869"/>
      <c r="G14" s="869"/>
      <c r="H14" s="869"/>
      <c r="I14" s="869"/>
      <c r="J14" s="869"/>
      <c r="K14" s="869"/>
      <c r="L14" s="869"/>
      <c r="M14" s="869"/>
      <c r="N14" s="869"/>
      <c r="S14" s="869"/>
      <c r="W14" s="869"/>
      <c r="X14" s="870"/>
      <c r="Y14" s="871"/>
    </row>
    <row r="15" spans="1:37">
      <c r="A15" s="42">
        <v>11</v>
      </c>
      <c r="C15" s="228" t="s">
        <v>320</v>
      </c>
      <c r="D15" s="240"/>
      <c r="E15" s="241"/>
      <c r="F15" s="242"/>
      <c r="G15" s="242"/>
      <c r="H15" s="242"/>
      <c r="I15" s="242"/>
      <c r="J15" s="242"/>
      <c r="K15" s="242"/>
      <c r="L15" s="242"/>
      <c r="M15" s="242"/>
      <c r="N15" s="242"/>
      <c r="O15" s="228"/>
      <c r="P15" s="225">
        <v>4000</v>
      </c>
      <c r="Q15" s="225">
        <v>9000</v>
      </c>
      <c r="R15" s="226">
        <f>+P15-Q15</f>
        <v>-5000</v>
      </c>
      <c r="S15" s="227">
        <f t="shared" ref="S15:S19" si="3">IF(Q15=0,"NA",(+P15-Q15)/Q15)</f>
        <v>-0.55555555555555558</v>
      </c>
      <c r="T15" s="228"/>
      <c r="U15" s="225">
        <f>59512.31-0.63</f>
        <v>59511.68</v>
      </c>
      <c r="V15" s="225">
        <v>7500</v>
      </c>
      <c r="W15" s="227">
        <f t="shared" ref="W15:W19" si="4">IF(V15=0,"NA",(+U15-V15)/V15)</f>
        <v>6.934890666666667</v>
      </c>
      <c r="X15" s="229" t="s">
        <v>469</v>
      </c>
      <c r="Y15" s="57"/>
    </row>
    <row r="16" spans="1:37">
      <c r="A16" s="42">
        <v>14</v>
      </c>
      <c r="C16" s="233" t="s">
        <v>9</v>
      </c>
      <c r="D16" s="243"/>
      <c r="E16" s="244"/>
      <c r="F16" s="245"/>
      <c r="G16" s="245"/>
      <c r="H16" s="245"/>
      <c r="I16" s="245"/>
      <c r="J16" s="245"/>
      <c r="K16" s="245"/>
      <c r="L16" s="245"/>
      <c r="M16" s="245"/>
      <c r="N16" s="245"/>
      <c r="O16" s="233"/>
      <c r="P16" s="230">
        <v>0</v>
      </c>
      <c r="Q16" s="230">
        <v>0</v>
      </c>
      <c r="R16" s="231">
        <f>+P16-Q16</f>
        <v>0</v>
      </c>
      <c r="S16" s="232" t="str">
        <f t="shared" si="3"/>
        <v>NA</v>
      </c>
      <c r="T16" s="233"/>
      <c r="U16" s="230">
        <v>0.63</v>
      </c>
      <c r="V16" s="230">
        <v>0</v>
      </c>
      <c r="W16" s="232" t="str">
        <f t="shared" si="4"/>
        <v>NA</v>
      </c>
      <c r="X16" s="249"/>
      <c r="Y16" s="58"/>
    </row>
    <row r="17" spans="1:37" hidden="1">
      <c r="A17" s="42">
        <v>15</v>
      </c>
      <c r="C17" s="238" t="s">
        <v>91</v>
      </c>
      <c r="D17" s="246"/>
      <c r="E17" s="247"/>
      <c r="F17" s="248"/>
      <c r="G17" s="248"/>
      <c r="H17" s="248"/>
      <c r="I17" s="248"/>
      <c r="J17" s="248"/>
      <c r="K17" s="248"/>
      <c r="L17" s="248"/>
      <c r="M17" s="248"/>
      <c r="N17" s="248"/>
      <c r="O17" s="238"/>
      <c r="P17" s="235">
        <v>0</v>
      </c>
      <c r="Q17" s="235">
        <v>0</v>
      </c>
      <c r="R17" s="236">
        <f>+P17-Q17</f>
        <v>0</v>
      </c>
      <c r="S17" s="237" t="str">
        <f t="shared" si="3"/>
        <v>NA</v>
      </c>
      <c r="T17" s="238"/>
      <c r="U17" s="235">
        <v>0</v>
      </c>
      <c r="V17" s="235">
        <v>0</v>
      </c>
      <c r="W17" s="237" t="str">
        <f t="shared" si="4"/>
        <v>NA</v>
      </c>
      <c r="X17" s="250"/>
      <c r="Y17" s="58"/>
      <c r="Z17" s="1">
        <v>11000</v>
      </c>
    </row>
    <row r="18" spans="1:37">
      <c r="A18" s="42">
        <v>16</v>
      </c>
      <c r="B18" s="9" t="s">
        <v>8</v>
      </c>
      <c r="C18" s="9"/>
      <c r="D18" s="9"/>
      <c r="E18" s="79"/>
      <c r="F18" s="79"/>
      <c r="G18" s="79"/>
      <c r="H18" s="79"/>
      <c r="I18" s="79"/>
      <c r="J18" s="79"/>
      <c r="K18" s="79"/>
      <c r="L18" s="79"/>
      <c r="M18" s="79"/>
      <c r="N18" s="79"/>
      <c r="O18" s="9"/>
      <c r="P18" s="9">
        <f>SUM(P15:P17)</f>
        <v>4000</v>
      </c>
      <c r="Q18" s="9">
        <f>SUM(Q15:Q17)</f>
        <v>9000</v>
      </c>
      <c r="R18" s="9">
        <f>SUM(R15:R17)</f>
        <v>-5000</v>
      </c>
      <c r="S18" s="10">
        <f t="shared" si="3"/>
        <v>-0.55555555555555558</v>
      </c>
      <c r="U18" s="9">
        <f>SUM(U15:U17)</f>
        <v>59512.31</v>
      </c>
      <c r="V18" s="9">
        <f>SUM(V15:V17)</f>
        <v>7500</v>
      </c>
      <c r="W18" s="10">
        <f t="shared" si="4"/>
        <v>6.9349746666666663</v>
      </c>
      <c r="X18" s="70"/>
      <c r="Y18" s="58"/>
    </row>
    <row r="19" spans="1:37">
      <c r="A19" s="42">
        <v>17</v>
      </c>
      <c r="B19" s="9" t="s">
        <v>10</v>
      </c>
      <c r="C19" s="9"/>
      <c r="D19" s="9"/>
      <c r="E19" s="79"/>
      <c r="F19" s="79"/>
      <c r="G19" s="79"/>
      <c r="H19" s="79"/>
      <c r="I19" s="79"/>
      <c r="J19" s="79"/>
      <c r="K19" s="79"/>
      <c r="L19" s="79"/>
      <c r="M19" s="79"/>
      <c r="N19" s="79"/>
      <c r="O19" s="9"/>
      <c r="P19" s="9">
        <f>+P13+P18</f>
        <v>458000</v>
      </c>
      <c r="Q19" s="9">
        <f>+Q13+Q18</f>
        <v>498500</v>
      </c>
      <c r="R19" s="9">
        <f>+R13+R18</f>
        <v>-40500</v>
      </c>
      <c r="S19" s="10">
        <f t="shared" si="3"/>
        <v>-8.1243731193580748E-2</v>
      </c>
      <c r="U19" s="9">
        <f>+U13+U18</f>
        <v>450525.95</v>
      </c>
      <c r="V19" s="9">
        <f>+V13+V18</f>
        <v>413178.07</v>
      </c>
      <c r="W19" s="10">
        <f t="shared" si="4"/>
        <v>9.039172868008219E-2</v>
      </c>
      <c r="X19" s="70"/>
      <c r="Y19" s="58"/>
    </row>
    <row r="20" spans="1:37" s="873" customFormat="1" ht="27" customHeight="1">
      <c r="A20" s="872">
        <v>19</v>
      </c>
      <c r="B20" s="879" t="s">
        <v>11</v>
      </c>
      <c r="D20" s="874"/>
      <c r="E20" s="875"/>
      <c r="F20" s="876"/>
      <c r="G20" s="876"/>
      <c r="H20" s="876"/>
      <c r="I20" s="876"/>
      <c r="J20" s="876"/>
      <c r="K20" s="876"/>
      <c r="L20" s="876"/>
      <c r="M20" s="876"/>
      <c r="N20" s="876"/>
      <c r="S20" s="876"/>
      <c r="W20" s="876"/>
      <c r="X20" s="877"/>
      <c r="Y20" s="878"/>
    </row>
    <row r="21" spans="1:37" ht="23" customHeight="1">
      <c r="B21" s="6" t="s">
        <v>88</v>
      </c>
      <c r="S21" s="38"/>
      <c r="W21" s="38"/>
      <c r="X21" s="70"/>
      <c r="Y21" s="58"/>
    </row>
    <row r="22" spans="1:37" ht="14.5" customHeight="1">
      <c r="B22" s="6"/>
      <c r="C22" s="228" t="s">
        <v>323</v>
      </c>
      <c r="D22" s="240"/>
      <c r="E22" s="241"/>
      <c r="F22" s="242"/>
      <c r="G22" s="242"/>
      <c r="H22" s="242"/>
      <c r="I22" s="242"/>
      <c r="J22" s="242"/>
      <c r="K22" s="242"/>
      <c r="L22" s="242"/>
      <c r="M22" s="242"/>
      <c r="N22" s="242"/>
      <c r="O22" s="228"/>
      <c r="P22" s="253">
        <v>21000</v>
      </c>
      <c r="Q22" s="253">
        <v>28790</v>
      </c>
      <c r="R22" s="226">
        <f t="shared" ref="R22:R30" si="5">+P22-Q22</f>
        <v>-7790</v>
      </c>
      <c r="S22" s="227">
        <f t="shared" ref="S22:S30" si="6">IF(Q22=0,"NA",(+P22-Q22)/Q22)</f>
        <v>-0.27058006252170891</v>
      </c>
      <c r="T22" s="228"/>
      <c r="U22" s="225">
        <v>23991.7</v>
      </c>
      <c r="V22" s="225">
        <v>23991.7</v>
      </c>
      <c r="W22" s="227">
        <f t="shared" ref="W22:W30" si="7">IF(V22=0,"NA",(+U22-V22)/V22)</f>
        <v>0</v>
      </c>
      <c r="X22" s="229"/>
      <c r="Y22" s="58"/>
    </row>
    <row r="23" spans="1:37" ht="14.5" customHeight="1">
      <c r="B23" s="6"/>
      <c r="C23" s="233" t="s">
        <v>468</v>
      </c>
      <c r="D23" s="243"/>
      <c r="E23" s="244"/>
      <c r="F23" s="245"/>
      <c r="G23" s="245"/>
      <c r="H23" s="245"/>
      <c r="I23" s="245"/>
      <c r="J23" s="245"/>
      <c r="K23" s="245"/>
      <c r="L23" s="245"/>
      <c r="M23" s="245"/>
      <c r="N23" s="245"/>
      <c r="O23" s="233"/>
      <c r="P23" s="251">
        <v>0</v>
      </c>
      <c r="Q23" s="251">
        <v>3000</v>
      </c>
      <c r="R23" s="226">
        <f t="shared" si="5"/>
        <v>-3000</v>
      </c>
      <c r="S23" s="227">
        <f t="shared" si="6"/>
        <v>-1</v>
      </c>
      <c r="T23" s="228"/>
      <c r="U23" s="225">
        <v>2250</v>
      </c>
      <c r="V23" s="225">
        <v>2250</v>
      </c>
      <c r="W23" s="227">
        <f t="shared" si="7"/>
        <v>0</v>
      </c>
      <c r="X23" s="229" t="s">
        <v>382</v>
      </c>
      <c r="Y23" s="58"/>
    </row>
    <row r="24" spans="1:37" ht="14.5" customHeight="1">
      <c r="B24" s="6"/>
      <c r="C24" s="233" t="s">
        <v>467</v>
      </c>
      <c r="D24" s="243"/>
      <c r="E24" s="244"/>
      <c r="F24" s="245"/>
      <c r="G24" s="245"/>
      <c r="H24" s="245"/>
      <c r="I24" s="245"/>
      <c r="J24" s="245"/>
      <c r="K24" s="245"/>
      <c r="L24" s="245"/>
      <c r="M24" s="245"/>
      <c r="N24" s="245"/>
      <c r="O24" s="233"/>
      <c r="P24" s="251">
        <v>500</v>
      </c>
      <c r="Q24" s="251">
        <v>1000</v>
      </c>
      <c r="R24" s="226">
        <f t="shared" si="5"/>
        <v>-500</v>
      </c>
      <c r="S24" s="227">
        <f t="shared" si="6"/>
        <v>-0.5</v>
      </c>
      <c r="T24" s="228"/>
      <c r="U24" s="225">
        <v>750</v>
      </c>
      <c r="V24" s="225">
        <v>750</v>
      </c>
      <c r="W24" s="227">
        <f t="shared" si="7"/>
        <v>0</v>
      </c>
      <c r="X24" s="229"/>
      <c r="Y24" s="58"/>
    </row>
    <row r="25" spans="1:37" ht="14.5" customHeight="1">
      <c r="B25" s="6"/>
      <c r="C25" s="233" t="s">
        <v>332</v>
      </c>
      <c r="D25" s="243"/>
      <c r="E25" s="244"/>
      <c r="F25" s="245"/>
      <c r="G25" s="245"/>
      <c r="H25" s="245"/>
      <c r="I25" s="245"/>
      <c r="J25" s="245"/>
      <c r="K25" s="245"/>
      <c r="L25" s="245"/>
      <c r="M25" s="245"/>
      <c r="N25" s="245"/>
      <c r="O25" s="233"/>
      <c r="P25" s="251">
        <v>1500</v>
      </c>
      <c r="Q25" s="251">
        <v>2000</v>
      </c>
      <c r="R25" s="226">
        <f t="shared" si="5"/>
        <v>-500</v>
      </c>
      <c r="S25" s="227">
        <f t="shared" si="6"/>
        <v>-0.25</v>
      </c>
      <c r="T25" s="228"/>
      <c r="U25" s="225">
        <v>1500</v>
      </c>
      <c r="V25" s="225">
        <v>1500</v>
      </c>
      <c r="W25" s="227">
        <f t="shared" si="7"/>
        <v>0</v>
      </c>
      <c r="X25" s="229"/>
      <c r="Y25" s="58"/>
    </row>
    <row r="26" spans="1:37" ht="14.5" customHeight="1">
      <c r="B26" s="6"/>
      <c r="C26" s="233" t="s">
        <v>326</v>
      </c>
      <c r="D26" s="243"/>
      <c r="E26" s="244"/>
      <c r="F26" s="245"/>
      <c r="G26" s="245"/>
      <c r="H26" s="245"/>
      <c r="I26" s="245"/>
      <c r="J26" s="245"/>
      <c r="K26" s="245"/>
      <c r="L26" s="245"/>
      <c r="M26" s="245"/>
      <c r="N26" s="245"/>
      <c r="O26" s="233"/>
      <c r="P26" s="251">
        <v>750</v>
      </c>
      <c r="Q26" s="251">
        <v>750</v>
      </c>
      <c r="R26" s="226">
        <f t="shared" si="5"/>
        <v>0</v>
      </c>
      <c r="S26" s="227">
        <f t="shared" si="6"/>
        <v>0</v>
      </c>
      <c r="T26" s="228"/>
      <c r="U26" s="225">
        <v>562.5</v>
      </c>
      <c r="V26" s="225">
        <v>562.5</v>
      </c>
      <c r="W26" s="227">
        <f t="shared" si="7"/>
        <v>0</v>
      </c>
      <c r="X26" s="229"/>
      <c r="Y26" s="58"/>
    </row>
    <row r="27" spans="1:37" ht="14.5" customHeight="1">
      <c r="B27" s="6"/>
      <c r="C27" s="233" t="s">
        <v>327</v>
      </c>
      <c r="D27" s="243"/>
      <c r="E27" s="244"/>
      <c r="F27" s="245"/>
      <c r="G27" s="245"/>
      <c r="H27" s="245"/>
      <c r="I27" s="245"/>
      <c r="J27" s="245"/>
      <c r="K27" s="245"/>
      <c r="L27" s="245"/>
      <c r="M27" s="245"/>
      <c r="N27" s="245"/>
      <c r="O27" s="233"/>
      <c r="P27" s="251">
        <v>1000</v>
      </c>
      <c r="Q27" s="251">
        <v>1000</v>
      </c>
      <c r="R27" s="226">
        <f t="shared" si="5"/>
        <v>0</v>
      </c>
      <c r="S27" s="227">
        <f t="shared" si="6"/>
        <v>0</v>
      </c>
      <c r="T27" s="228"/>
      <c r="U27" s="225">
        <v>750</v>
      </c>
      <c r="V27" s="225">
        <v>750</v>
      </c>
      <c r="W27" s="227">
        <f t="shared" si="7"/>
        <v>0</v>
      </c>
      <c r="X27" s="229"/>
      <c r="Y27" s="58"/>
    </row>
    <row r="28" spans="1:37" ht="14.5" customHeight="1">
      <c r="B28" s="6"/>
      <c r="C28" s="233" t="s">
        <v>328</v>
      </c>
      <c r="D28" s="243"/>
      <c r="E28" s="244"/>
      <c r="F28" s="245"/>
      <c r="G28" s="245"/>
      <c r="H28" s="245"/>
      <c r="I28" s="245"/>
      <c r="J28" s="245"/>
      <c r="K28" s="245"/>
      <c r="L28" s="245"/>
      <c r="M28" s="245"/>
      <c r="N28" s="245"/>
      <c r="O28" s="233"/>
      <c r="P28" s="251">
        <v>1000</v>
      </c>
      <c r="Q28" s="251">
        <v>1500</v>
      </c>
      <c r="R28" s="226">
        <f t="shared" si="5"/>
        <v>-500</v>
      </c>
      <c r="S28" s="227">
        <f t="shared" si="6"/>
        <v>-0.33333333333333331</v>
      </c>
      <c r="T28" s="228"/>
      <c r="U28" s="225">
        <v>1125</v>
      </c>
      <c r="V28" s="225">
        <v>1125</v>
      </c>
      <c r="W28" s="227">
        <f t="shared" si="7"/>
        <v>0</v>
      </c>
      <c r="X28" s="229"/>
      <c r="Y28" s="58"/>
    </row>
    <row r="29" spans="1:37" ht="14.5" customHeight="1">
      <c r="B29" s="6"/>
      <c r="C29" s="233" t="s">
        <v>466</v>
      </c>
      <c r="D29" s="243"/>
      <c r="E29" s="244"/>
      <c r="F29" s="245"/>
      <c r="G29" s="245"/>
      <c r="H29" s="245"/>
      <c r="I29" s="245"/>
      <c r="J29" s="245"/>
      <c r="K29" s="245"/>
      <c r="L29" s="245"/>
      <c r="M29" s="245"/>
      <c r="N29" s="245"/>
      <c r="O29" s="233"/>
      <c r="P29" s="251">
        <v>1000</v>
      </c>
      <c r="Q29" s="251">
        <v>1500</v>
      </c>
      <c r="R29" s="226">
        <f t="shared" si="5"/>
        <v>-500</v>
      </c>
      <c r="S29" s="227">
        <f t="shared" si="6"/>
        <v>-0.33333333333333331</v>
      </c>
      <c r="T29" s="228"/>
      <c r="U29" s="225">
        <v>1125</v>
      </c>
      <c r="V29" s="225">
        <v>1125</v>
      </c>
      <c r="W29" s="227">
        <f t="shared" si="7"/>
        <v>0</v>
      </c>
      <c r="X29" s="229"/>
      <c r="Y29" s="58"/>
    </row>
    <row r="30" spans="1:37" ht="14.5" customHeight="1">
      <c r="B30" s="6"/>
      <c r="C30" s="233" t="s">
        <v>330</v>
      </c>
      <c r="D30" s="243"/>
      <c r="E30" s="244"/>
      <c r="F30" s="245"/>
      <c r="G30" s="245"/>
      <c r="H30" s="245"/>
      <c r="I30" s="245"/>
      <c r="J30" s="245"/>
      <c r="K30" s="245"/>
      <c r="L30" s="245"/>
      <c r="M30" s="245"/>
      <c r="N30" s="245"/>
      <c r="O30" s="233"/>
      <c r="P30" s="251">
        <v>1000</v>
      </c>
      <c r="Q30" s="251">
        <v>500</v>
      </c>
      <c r="R30" s="226">
        <f t="shared" si="5"/>
        <v>500</v>
      </c>
      <c r="S30" s="227">
        <f t="shared" si="6"/>
        <v>1</v>
      </c>
      <c r="T30" s="228"/>
      <c r="U30" s="225">
        <v>375</v>
      </c>
      <c r="V30" s="225">
        <v>375</v>
      </c>
      <c r="W30" s="227">
        <f t="shared" si="7"/>
        <v>0</v>
      </c>
      <c r="X30" s="229"/>
      <c r="Y30" s="58"/>
    </row>
    <row r="31" spans="1:37" s="2" customFormat="1" ht="29">
      <c r="A31" s="42">
        <v>26</v>
      </c>
      <c r="B31" s="541">
        <v>0.08</v>
      </c>
      <c r="C31" s="12" t="str">
        <f>ROUND((P31/P19),3)*100&amp;"% Benevolence"</f>
        <v>6.1% Benevolence</v>
      </c>
      <c r="D31" s="12"/>
      <c r="E31" s="80"/>
      <c r="F31" s="81"/>
      <c r="G31" s="81"/>
      <c r="H31" s="81"/>
      <c r="I31" s="81"/>
      <c r="J31" s="81"/>
      <c r="K31" s="81"/>
      <c r="L31" s="81"/>
      <c r="M31" s="81"/>
      <c r="N31" s="81"/>
      <c r="O31" s="11"/>
      <c r="P31" s="11">
        <f>SUM(P22:P30)</f>
        <v>27750</v>
      </c>
      <c r="Q31" s="11">
        <f>SUM(Q22:Q30)</f>
        <v>40040</v>
      </c>
      <c r="R31" s="11">
        <f t="shared" ref="R31" si="8">+P31-Q31</f>
        <v>-12290</v>
      </c>
      <c r="S31" s="13">
        <f>IF(Q31=0,"NA",(+P31-Q31)/Q31)</f>
        <v>-0.30694305694305696</v>
      </c>
      <c r="T31" s="1"/>
      <c r="U31" s="560">
        <f>SUM(U22:U30)</f>
        <v>32429.200000000001</v>
      </c>
      <c r="V31" s="560">
        <f>SUM(V22:V30)</f>
        <v>32429.200000000001</v>
      </c>
      <c r="W31" s="13">
        <f>IF(V31=0,"NA",(+U31-V31)/V31)</f>
        <v>0</v>
      </c>
      <c r="X31" s="63" t="s">
        <v>565</v>
      </c>
      <c r="Y31" s="59"/>
      <c r="Z31" s="2" t="s">
        <v>366</v>
      </c>
      <c r="AF31" s="1">
        <f>+$P31</f>
        <v>27750</v>
      </c>
      <c r="AG31" s="1"/>
      <c r="AJ31" s="1">
        <f>+$U31</f>
        <v>32429.200000000001</v>
      </c>
      <c r="AK31" s="1"/>
    </row>
    <row r="32" spans="1:37" s="2" customFormat="1" ht="23" customHeight="1">
      <c r="A32" s="42">
        <v>28</v>
      </c>
      <c r="B32" s="18" t="s">
        <v>58</v>
      </c>
      <c r="C32" s="15"/>
      <c r="D32" s="14"/>
      <c r="E32" s="77"/>
      <c r="F32" s="77"/>
      <c r="G32" s="77"/>
      <c r="H32" s="77"/>
      <c r="I32" s="77"/>
      <c r="J32" s="77"/>
      <c r="K32" s="77"/>
      <c r="L32" s="77"/>
      <c r="M32" s="77"/>
      <c r="N32" s="77"/>
      <c r="O32" s="14"/>
      <c r="P32" s="559"/>
      <c r="Q32" s="854"/>
      <c r="R32" s="14"/>
      <c r="S32" s="17"/>
      <c r="T32" s="1"/>
      <c r="U32" s="14"/>
      <c r="V32" s="14"/>
      <c r="W32" s="17"/>
      <c r="X32" s="71"/>
      <c r="Y32" s="60"/>
    </row>
    <row r="33" spans="1:35" s="866" customFormat="1" ht="19.5" customHeight="1">
      <c r="A33" s="865">
        <v>29</v>
      </c>
      <c r="B33" s="882" t="s">
        <v>12</v>
      </c>
      <c r="D33" s="867"/>
      <c r="E33" s="868"/>
      <c r="F33" s="869"/>
      <c r="G33" s="869"/>
      <c r="H33" s="869"/>
      <c r="I33" s="869"/>
      <c r="J33" s="869"/>
      <c r="K33" s="869"/>
      <c r="L33" s="869"/>
      <c r="M33" s="869"/>
      <c r="N33" s="869"/>
      <c r="S33" s="869"/>
      <c r="W33" s="869"/>
      <c r="X33" s="870"/>
      <c r="Y33" s="871"/>
    </row>
    <row r="34" spans="1:35" ht="19.5" customHeight="1">
      <c r="A34" s="42">
        <v>30</v>
      </c>
      <c r="C34" s="393" t="s">
        <v>80</v>
      </c>
      <c r="D34" s="394"/>
      <c r="E34" s="395"/>
      <c r="F34" s="396"/>
      <c r="G34" s="396"/>
      <c r="H34" s="396"/>
      <c r="I34" s="396"/>
      <c r="J34" s="396"/>
      <c r="K34" s="396"/>
      <c r="L34" s="396"/>
      <c r="M34" s="396"/>
      <c r="N34" s="396"/>
      <c r="O34" s="393"/>
      <c r="P34" s="397">
        <v>1500</v>
      </c>
      <c r="Q34" s="397">
        <v>2300</v>
      </c>
      <c r="R34" s="398">
        <f t="shared" ref="R34:R42" si="9">+P34-Q34</f>
        <v>-800</v>
      </c>
      <c r="S34" s="399">
        <f t="shared" ref="S34:S43" si="10">IF(Q34=0,"NA",(+P34-Q34)/Q34)</f>
        <v>-0.34782608695652173</v>
      </c>
      <c r="T34" s="393"/>
      <c r="U34" s="397">
        <v>770.1</v>
      </c>
      <c r="V34" s="397">
        <v>1788.88</v>
      </c>
      <c r="W34" s="399">
        <f t="shared" ref="W34:W43" si="11">IF(V34=0,"NA",(+U34-V34)/V34)</f>
        <v>-0.56950717767541703</v>
      </c>
      <c r="X34" s="789" t="s">
        <v>470</v>
      </c>
      <c r="Y34" s="57" t="s">
        <v>119</v>
      </c>
      <c r="AE34" s="1">
        <f>+$P34</f>
        <v>1500</v>
      </c>
      <c r="AI34" s="1">
        <f>+$U34</f>
        <v>770.1</v>
      </c>
    </row>
    <row r="35" spans="1:35" ht="29">
      <c r="C35" s="228"/>
      <c r="D35" s="240"/>
      <c r="E35" s="241"/>
      <c r="F35" s="242"/>
      <c r="G35" s="242"/>
      <c r="H35" s="242"/>
      <c r="I35" s="242"/>
      <c r="J35" s="242"/>
      <c r="K35" s="242"/>
      <c r="L35" s="242"/>
      <c r="M35" s="242"/>
      <c r="N35" s="242"/>
      <c r="O35" s="228"/>
      <c r="P35" s="225"/>
      <c r="Q35" s="225"/>
      <c r="R35" s="226"/>
      <c r="S35" s="227"/>
      <c r="T35" s="228"/>
      <c r="U35" s="225"/>
      <c r="V35" s="225"/>
      <c r="W35" s="227"/>
      <c r="X35" s="400" t="s">
        <v>280</v>
      </c>
      <c r="Y35" s="57"/>
    </row>
    <row r="36" spans="1:35" ht="14" customHeight="1">
      <c r="A36" s="42">
        <v>31</v>
      </c>
      <c r="C36" s="238" t="s">
        <v>13</v>
      </c>
      <c r="D36" s="246"/>
      <c r="E36" s="247"/>
      <c r="F36" s="248"/>
      <c r="G36" s="248"/>
      <c r="H36" s="248"/>
      <c r="I36" s="248"/>
      <c r="J36" s="248"/>
      <c r="K36" s="248"/>
      <c r="L36" s="248"/>
      <c r="M36" s="248"/>
      <c r="N36" s="248"/>
      <c r="O36" s="238"/>
      <c r="P36" s="235">
        <v>1000</v>
      </c>
      <c r="Q36" s="235">
        <v>1000</v>
      </c>
      <c r="R36" s="236">
        <f t="shared" si="9"/>
        <v>0</v>
      </c>
      <c r="S36" s="237">
        <f t="shared" si="10"/>
        <v>0</v>
      </c>
      <c r="T36" s="238"/>
      <c r="U36" s="235">
        <v>256.57</v>
      </c>
      <c r="V36" s="235">
        <v>1000</v>
      </c>
      <c r="W36" s="237">
        <f t="shared" si="11"/>
        <v>-0.74343000000000004</v>
      </c>
      <c r="X36" s="637" t="s">
        <v>577</v>
      </c>
      <c r="Y36" s="61" t="s">
        <v>120</v>
      </c>
      <c r="AE36" s="1">
        <f t="shared" ref="AE36:AE42" si="12">+$P36</f>
        <v>1000</v>
      </c>
      <c r="AI36" s="1">
        <f t="shared" ref="AI36:AI42" si="13">+$U36</f>
        <v>256.57</v>
      </c>
    </row>
    <row r="37" spans="1:35" ht="43.5">
      <c r="C37" s="228"/>
      <c r="D37" s="240"/>
      <c r="E37" s="241"/>
      <c r="F37" s="242"/>
      <c r="G37" s="242"/>
      <c r="H37" s="242"/>
      <c r="I37" s="242"/>
      <c r="J37" s="242"/>
      <c r="K37" s="242"/>
      <c r="L37" s="242"/>
      <c r="M37" s="242"/>
      <c r="N37" s="242"/>
      <c r="O37" s="228"/>
      <c r="P37" s="225"/>
      <c r="Q37" s="225"/>
      <c r="R37" s="226"/>
      <c r="S37" s="227"/>
      <c r="T37" s="228"/>
      <c r="U37" s="225"/>
      <c r="V37" s="225"/>
      <c r="W37" s="227"/>
      <c r="X37" s="400" t="s">
        <v>515</v>
      </c>
      <c r="Y37" s="61"/>
    </row>
    <row r="38" spans="1:35" ht="31" customHeight="1">
      <c r="A38" s="42">
        <v>32</v>
      </c>
      <c r="C38" s="238" t="s">
        <v>292</v>
      </c>
      <c r="D38" s="246"/>
      <c r="E38" s="247"/>
      <c r="F38" s="248"/>
      <c r="G38" s="248"/>
      <c r="H38" s="248"/>
      <c r="I38" s="248"/>
      <c r="J38" s="248"/>
      <c r="K38" s="248"/>
      <c r="L38" s="248"/>
      <c r="M38" s="248"/>
      <c r="N38" s="248"/>
      <c r="O38" s="238"/>
      <c r="P38" s="235">
        <v>250</v>
      </c>
      <c r="Q38" s="235">
        <v>250</v>
      </c>
      <c r="R38" s="236">
        <f t="shared" si="9"/>
        <v>0</v>
      </c>
      <c r="S38" s="237">
        <f t="shared" si="10"/>
        <v>0</v>
      </c>
      <c r="T38" s="238"/>
      <c r="U38" s="235">
        <v>0</v>
      </c>
      <c r="V38" s="235">
        <v>250</v>
      </c>
      <c r="W38" s="237">
        <f t="shared" si="11"/>
        <v>-1</v>
      </c>
      <c r="X38" s="239" t="s">
        <v>578</v>
      </c>
      <c r="Y38" s="61" t="s">
        <v>121</v>
      </c>
      <c r="AE38" s="1">
        <f t="shared" si="12"/>
        <v>250</v>
      </c>
      <c r="AI38" s="1">
        <f t="shared" si="13"/>
        <v>0</v>
      </c>
    </row>
    <row r="39" spans="1:35" ht="14" customHeight="1">
      <c r="A39" s="42">
        <v>33</v>
      </c>
      <c r="C39" s="238" t="s">
        <v>14</v>
      </c>
      <c r="D39" s="246"/>
      <c r="E39" s="247"/>
      <c r="F39" s="248"/>
      <c r="G39" s="248"/>
      <c r="H39" s="248"/>
      <c r="I39" s="248"/>
      <c r="J39" s="248"/>
      <c r="K39" s="248"/>
      <c r="L39" s="248"/>
      <c r="M39" s="248"/>
      <c r="N39" s="248"/>
      <c r="O39" s="238"/>
      <c r="P39" s="235">
        <v>300</v>
      </c>
      <c r="Q39" s="235">
        <v>300</v>
      </c>
      <c r="R39" s="236">
        <f t="shared" si="9"/>
        <v>0</v>
      </c>
      <c r="S39" s="237">
        <f t="shared" si="10"/>
        <v>0</v>
      </c>
      <c r="T39" s="238"/>
      <c r="U39" s="235">
        <v>-85</v>
      </c>
      <c r="V39" s="235">
        <v>0</v>
      </c>
      <c r="W39" s="237" t="str">
        <f t="shared" si="11"/>
        <v>NA</v>
      </c>
      <c r="X39" s="239" t="s">
        <v>579</v>
      </c>
      <c r="Y39" s="57" t="s">
        <v>122</v>
      </c>
      <c r="AE39" s="1">
        <f t="shared" si="12"/>
        <v>300</v>
      </c>
      <c r="AI39" s="1">
        <f t="shared" si="13"/>
        <v>-85</v>
      </c>
    </row>
    <row r="40" spans="1:35" ht="14.5" customHeight="1">
      <c r="A40" s="42">
        <v>34</v>
      </c>
      <c r="C40" s="238" t="s">
        <v>279</v>
      </c>
      <c r="D40" s="246"/>
      <c r="E40" s="247"/>
      <c r="F40" s="248"/>
      <c r="G40" s="248"/>
      <c r="H40" s="248"/>
      <c r="I40" s="248"/>
      <c r="J40" s="248"/>
      <c r="K40" s="248"/>
      <c r="L40" s="248"/>
      <c r="M40" s="248"/>
      <c r="N40" s="248"/>
      <c r="O40" s="238"/>
      <c r="P40" s="235">
        <v>200</v>
      </c>
      <c r="Q40" s="235">
        <v>200</v>
      </c>
      <c r="R40" s="236">
        <f t="shared" si="9"/>
        <v>0</v>
      </c>
      <c r="S40" s="237">
        <f t="shared" si="10"/>
        <v>0</v>
      </c>
      <c r="T40" s="238"/>
      <c r="U40" s="235">
        <v>68.8</v>
      </c>
      <c r="V40" s="235">
        <v>200</v>
      </c>
      <c r="W40" s="237">
        <f t="shared" si="11"/>
        <v>-0.65599999999999992</v>
      </c>
      <c r="X40" s="885" t="s">
        <v>580</v>
      </c>
      <c r="Y40" s="61" t="s">
        <v>123</v>
      </c>
      <c r="AE40" s="1">
        <f t="shared" si="12"/>
        <v>200</v>
      </c>
      <c r="AI40" s="1">
        <f t="shared" si="13"/>
        <v>68.8</v>
      </c>
    </row>
    <row r="41" spans="1:35" ht="29">
      <c r="C41" s="238" t="s">
        <v>104</v>
      </c>
      <c r="D41" s="246"/>
      <c r="E41" s="247"/>
      <c r="F41" s="248"/>
      <c r="G41" s="248"/>
      <c r="H41" s="248"/>
      <c r="I41" s="248"/>
      <c r="J41" s="248"/>
      <c r="K41" s="248"/>
      <c r="L41" s="248"/>
      <c r="M41" s="248"/>
      <c r="N41" s="248"/>
      <c r="O41" s="238"/>
      <c r="P41" s="235">
        <v>550</v>
      </c>
      <c r="Q41" s="235">
        <v>550</v>
      </c>
      <c r="R41" s="236">
        <f t="shared" si="9"/>
        <v>0</v>
      </c>
      <c r="S41" s="237">
        <f>IF(Q41=0,"NA",(+P41-Q41)/Q41)</f>
        <v>0</v>
      </c>
      <c r="T41" s="238"/>
      <c r="U41" s="235">
        <v>176.2</v>
      </c>
      <c r="V41" s="235">
        <v>458.3</v>
      </c>
      <c r="W41" s="237">
        <f>IF(V41=0,"NA",(+U41-V41)/V41)</f>
        <v>-0.61553567532184161</v>
      </c>
      <c r="X41" s="881" t="s">
        <v>574</v>
      </c>
      <c r="Y41" s="61" t="s">
        <v>124</v>
      </c>
      <c r="AE41" s="1">
        <f t="shared" si="12"/>
        <v>550</v>
      </c>
      <c r="AI41" s="1">
        <f t="shared" si="13"/>
        <v>176.2</v>
      </c>
    </row>
    <row r="42" spans="1:35" ht="14.5" customHeight="1">
      <c r="A42" s="42">
        <v>35</v>
      </c>
      <c r="C42" s="238" t="s">
        <v>84</v>
      </c>
      <c r="D42" s="246"/>
      <c r="E42" s="247"/>
      <c r="F42" s="248"/>
      <c r="G42" s="248"/>
      <c r="H42" s="248"/>
      <c r="I42" s="248"/>
      <c r="J42" s="248"/>
      <c r="K42" s="248"/>
      <c r="L42" s="248"/>
      <c r="M42" s="248"/>
      <c r="N42" s="248"/>
      <c r="O42" s="238"/>
      <c r="P42" s="235">
        <v>250</v>
      </c>
      <c r="Q42" s="235">
        <v>250</v>
      </c>
      <c r="R42" s="236">
        <f t="shared" si="9"/>
        <v>0</v>
      </c>
      <c r="S42" s="237">
        <f t="shared" si="10"/>
        <v>0</v>
      </c>
      <c r="T42" s="238"/>
      <c r="U42" s="235">
        <v>0</v>
      </c>
      <c r="V42" s="235">
        <v>208.3</v>
      </c>
      <c r="W42" s="237">
        <f t="shared" si="11"/>
        <v>-1</v>
      </c>
      <c r="X42" s="239" t="s">
        <v>581</v>
      </c>
      <c r="Y42" s="61" t="s">
        <v>125</v>
      </c>
      <c r="AE42" s="1">
        <f t="shared" si="12"/>
        <v>250</v>
      </c>
      <c r="AI42" s="1">
        <f t="shared" si="13"/>
        <v>0</v>
      </c>
    </row>
    <row r="43" spans="1:35" s="2" customFormat="1">
      <c r="A43" s="42">
        <v>36</v>
      </c>
      <c r="B43" s="19" t="s">
        <v>16</v>
      </c>
      <c r="C43" s="19"/>
      <c r="D43" s="36"/>
      <c r="E43" s="82"/>
      <c r="F43" s="82"/>
      <c r="G43" s="82"/>
      <c r="H43" s="82"/>
      <c r="I43" s="82"/>
      <c r="J43" s="82"/>
      <c r="K43" s="82"/>
      <c r="L43" s="82"/>
      <c r="M43" s="82"/>
      <c r="N43" s="82"/>
      <c r="O43" s="36"/>
      <c r="P43" s="19">
        <f>SUM(P34:P42)</f>
        <v>4050</v>
      </c>
      <c r="Q43" s="36">
        <f>SUM(Q34:Q42)</f>
        <v>4850</v>
      </c>
      <c r="R43" s="36">
        <f>SUM(R34:R42)</f>
        <v>-800</v>
      </c>
      <c r="S43" s="20">
        <f t="shared" si="10"/>
        <v>-0.16494845360824742</v>
      </c>
      <c r="U43" s="36">
        <f>SUM(U34:U42)</f>
        <v>1186.67</v>
      </c>
      <c r="V43" s="36">
        <f>SUM(V34:V42)</f>
        <v>3905.4800000000005</v>
      </c>
      <c r="W43" s="20">
        <f t="shared" si="11"/>
        <v>-0.69615258559767301</v>
      </c>
      <c r="X43" s="235"/>
      <c r="Y43" s="60"/>
    </row>
    <row r="44" spans="1:35" ht="19.5" customHeight="1">
      <c r="A44" s="42">
        <v>40</v>
      </c>
      <c r="B44" s="882" t="s">
        <v>145</v>
      </c>
      <c r="S44" s="4"/>
      <c r="X44" s="70"/>
      <c r="Y44" s="58"/>
    </row>
    <row r="45" spans="1:35" ht="14" customHeight="1">
      <c r="A45" s="42">
        <v>41</v>
      </c>
      <c r="C45" s="393" t="s">
        <v>17</v>
      </c>
      <c r="D45" s="394"/>
      <c r="E45" s="395"/>
      <c r="F45" s="396"/>
      <c r="G45" s="396"/>
      <c r="H45" s="396"/>
      <c r="I45" s="396"/>
      <c r="J45" s="396"/>
      <c r="K45" s="396"/>
      <c r="L45" s="396"/>
      <c r="M45" s="396"/>
      <c r="N45" s="396"/>
      <c r="O45" s="393"/>
      <c r="P45" s="401">
        <v>3500</v>
      </c>
      <c r="Q45" s="401">
        <v>3500</v>
      </c>
      <c r="R45" s="398">
        <f>+P45-Q45</f>
        <v>0</v>
      </c>
      <c r="S45" s="399">
        <f>IF(Q45=0,"NA",(+P45-Q45)/Q45)</f>
        <v>0</v>
      </c>
      <c r="T45" s="393"/>
      <c r="U45" s="397">
        <v>2038.25</v>
      </c>
      <c r="V45" s="397">
        <v>2916.7</v>
      </c>
      <c r="W45" s="399">
        <f>IF(V45=0,"NA",(+U45-V45)/V45)</f>
        <v>-0.30117941509239893</v>
      </c>
      <c r="X45" s="540"/>
      <c r="Y45" s="61" t="s">
        <v>138</v>
      </c>
      <c r="AD45" s="1">
        <f>+$P45</f>
        <v>3500</v>
      </c>
      <c r="AH45" s="1">
        <f>+$U45</f>
        <v>2038.25</v>
      </c>
    </row>
    <row r="46" spans="1:35">
      <c r="A46" s="42">
        <v>43</v>
      </c>
      <c r="C46" s="233" t="s">
        <v>18</v>
      </c>
      <c r="D46" s="243"/>
      <c r="E46" s="244"/>
      <c r="F46" s="245"/>
      <c r="G46" s="245"/>
      <c r="H46" s="245"/>
      <c r="I46" s="245"/>
      <c r="J46" s="245"/>
      <c r="K46" s="245"/>
      <c r="L46" s="245"/>
      <c r="M46" s="245"/>
      <c r="N46" s="245"/>
      <c r="O46" s="233"/>
      <c r="P46" s="230">
        <v>100</v>
      </c>
      <c r="Q46" s="230">
        <v>100</v>
      </c>
      <c r="R46" s="231">
        <f>+P46-Q46</f>
        <v>0</v>
      </c>
      <c r="S46" s="232">
        <f>IF(Q46=0,"NA",(+P46-Q46)/Q46)</f>
        <v>0</v>
      </c>
      <c r="T46" s="233"/>
      <c r="U46" s="230">
        <v>0</v>
      </c>
      <c r="V46" s="230">
        <v>83.3</v>
      </c>
      <c r="W46" s="232">
        <f>IF(V46=0,"NA",(+U46-V46)/V46)</f>
        <v>-1</v>
      </c>
      <c r="X46" s="638"/>
      <c r="Y46" s="57" t="s">
        <v>137</v>
      </c>
      <c r="AD46" s="1">
        <f>+$P46</f>
        <v>100</v>
      </c>
      <c r="AH46" s="1">
        <f>+$U46</f>
        <v>0</v>
      </c>
    </row>
    <row r="47" spans="1:35">
      <c r="A47" s="42">
        <v>44</v>
      </c>
      <c r="C47" s="233" t="s">
        <v>19</v>
      </c>
      <c r="D47" s="243"/>
      <c r="E47" s="244"/>
      <c r="F47" s="245"/>
      <c r="G47" s="245"/>
      <c r="H47" s="245"/>
      <c r="I47" s="245"/>
      <c r="J47" s="245"/>
      <c r="K47" s="245"/>
      <c r="L47" s="245"/>
      <c r="M47" s="245"/>
      <c r="N47" s="245"/>
      <c r="O47" s="233"/>
      <c r="P47" s="230">
        <v>200</v>
      </c>
      <c r="Q47" s="230">
        <v>200</v>
      </c>
      <c r="R47" s="231">
        <f>+P47-Q47</f>
        <v>0</v>
      </c>
      <c r="S47" s="232">
        <f>IF(Q47=0,"NA",(+P47-Q47)/Q47)</f>
        <v>0</v>
      </c>
      <c r="T47" s="233"/>
      <c r="U47" s="230">
        <v>3</v>
      </c>
      <c r="V47" s="230">
        <v>166.7</v>
      </c>
      <c r="W47" s="232">
        <f>IF(V47=0,"NA",(+U47-V47)/V47)</f>
        <v>-0.98200359928014402</v>
      </c>
      <c r="X47" s="638"/>
      <c r="Y47" s="58"/>
      <c r="AD47" s="1">
        <f>+$P47</f>
        <v>200</v>
      </c>
      <c r="AH47" s="1">
        <f>+$U47</f>
        <v>3</v>
      </c>
    </row>
    <row r="48" spans="1:35" s="2" customFormat="1">
      <c r="A48" s="42">
        <v>45</v>
      </c>
      <c r="B48" s="19" t="s">
        <v>146</v>
      </c>
      <c r="C48" s="19"/>
      <c r="D48" s="36"/>
      <c r="E48" s="82"/>
      <c r="F48" s="82"/>
      <c r="G48" s="82"/>
      <c r="H48" s="82"/>
      <c r="I48" s="82"/>
      <c r="J48" s="82"/>
      <c r="K48" s="82"/>
      <c r="L48" s="82"/>
      <c r="M48" s="82"/>
      <c r="N48" s="82"/>
      <c r="O48" s="36"/>
      <c r="P48" s="19">
        <f>SUM(P45:P47)</f>
        <v>3800</v>
      </c>
      <c r="Q48" s="36">
        <f>SUM(Q45:Q47)</f>
        <v>3800</v>
      </c>
      <c r="R48" s="36">
        <f>SUM(R45:R47)</f>
        <v>0</v>
      </c>
      <c r="S48" s="20">
        <f>IF(Q48=0,"NA",(+P48-Q48)/Q48)</f>
        <v>0</v>
      </c>
      <c r="U48" s="36">
        <f>SUM(U45:U47)</f>
        <v>2041.25</v>
      </c>
      <c r="V48" s="36">
        <f>SUM(V45:V47)</f>
        <v>3166.7</v>
      </c>
      <c r="W48" s="20">
        <f>IF(V48=0,"NA",(+U48-V48)/V48)</f>
        <v>-0.35540152208924114</v>
      </c>
      <c r="X48" s="70"/>
      <c r="Y48" s="58"/>
    </row>
    <row r="49" spans="1:36" ht="6.75" customHeight="1">
      <c r="A49" s="42">
        <v>46</v>
      </c>
      <c r="D49" s="1"/>
      <c r="E49" s="38"/>
      <c r="S49" s="4"/>
      <c r="X49" s="70"/>
      <c r="Y49" s="58"/>
    </row>
    <row r="50" spans="1:36" s="2" customFormat="1">
      <c r="A50" s="42">
        <v>51</v>
      </c>
      <c r="B50" s="19" t="s">
        <v>20</v>
      </c>
      <c r="C50" s="19"/>
      <c r="D50" s="36"/>
      <c r="E50" s="82"/>
      <c r="F50" s="82"/>
      <c r="G50" s="82"/>
      <c r="H50" s="82"/>
      <c r="I50" s="82"/>
      <c r="J50" s="82"/>
      <c r="K50" s="82"/>
      <c r="L50" s="82"/>
      <c r="M50" s="82"/>
      <c r="N50" s="82"/>
      <c r="O50" s="36"/>
      <c r="P50" s="47">
        <v>8000</v>
      </c>
      <c r="Q50" s="47">
        <v>12800</v>
      </c>
      <c r="R50" s="44">
        <f>+P50-Q50</f>
        <v>-4800</v>
      </c>
      <c r="S50" s="20">
        <f>IF(Q50=0,"NA",(+P50-Q50)/Q50)</f>
        <v>-0.375</v>
      </c>
      <c r="U50" s="47">
        <v>1094.4000000000001</v>
      </c>
      <c r="V50" s="47">
        <v>10666.7</v>
      </c>
      <c r="W50" s="20">
        <f>IF(V50=0,"NA",(+U50-V50)/V50)</f>
        <v>-0.8974003206239981</v>
      </c>
      <c r="X50" s="540" t="s">
        <v>516</v>
      </c>
      <c r="Y50" s="57"/>
      <c r="AE50" s="1">
        <f>+$P50</f>
        <v>8000</v>
      </c>
      <c r="AI50" s="1">
        <f>+$U50</f>
        <v>1094.4000000000001</v>
      </c>
    </row>
    <row r="51" spans="1:36" ht="19.5" customHeight="1">
      <c r="A51" s="42">
        <v>53</v>
      </c>
      <c r="B51" s="882" t="s">
        <v>90</v>
      </c>
      <c r="S51" s="4"/>
      <c r="X51" s="70"/>
      <c r="Y51" s="58"/>
    </row>
    <row r="52" spans="1:36">
      <c r="A52" s="42">
        <v>54</v>
      </c>
      <c r="C52" s="393" t="s">
        <v>92</v>
      </c>
      <c r="D52" s="394"/>
      <c r="E52" s="395"/>
      <c r="F52" s="396"/>
      <c r="G52" s="396"/>
      <c r="H52" s="396"/>
      <c r="I52" s="396"/>
      <c r="J52" s="396"/>
      <c r="K52" s="396"/>
      <c r="L52" s="396"/>
      <c r="M52" s="396"/>
      <c r="N52" s="396"/>
      <c r="O52" s="393"/>
      <c r="P52" s="397">
        <v>400</v>
      </c>
      <c r="Q52" s="397">
        <v>400</v>
      </c>
      <c r="R52" s="398">
        <f>+P52-Q52</f>
        <v>0</v>
      </c>
      <c r="S52" s="399">
        <f>IF(Q52=0,"NA",(+P52-Q52)/Q52)</f>
        <v>0</v>
      </c>
      <c r="T52" s="393"/>
      <c r="U52" s="397">
        <v>0</v>
      </c>
      <c r="V52" s="397">
        <v>333.3</v>
      </c>
      <c r="W52" s="399">
        <f>IF(V52=0,"NA",(+U52-V52)/V52)</f>
        <v>-1</v>
      </c>
      <c r="X52" s="789" t="s">
        <v>576</v>
      </c>
      <c r="Y52" s="57"/>
      <c r="AD52" s="1">
        <f>+$P52</f>
        <v>400</v>
      </c>
      <c r="AH52" s="1">
        <f>+$U52</f>
        <v>0</v>
      </c>
    </row>
    <row r="53" spans="1:36">
      <c r="C53" s="393"/>
      <c r="D53" s="394"/>
      <c r="E53" s="395"/>
      <c r="F53" s="396"/>
      <c r="G53" s="396"/>
      <c r="H53" s="396"/>
      <c r="I53" s="396"/>
      <c r="J53" s="396"/>
      <c r="K53" s="396"/>
      <c r="L53" s="396"/>
      <c r="M53" s="396"/>
      <c r="N53" s="396"/>
      <c r="O53" s="393"/>
      <c r="P53" s="397"/>
      <c r="Q53" s="397"/>
      <c r="R53" s="398"/>
      <c r="S53" s="399"/>
      <c r="T53" s="393"/>
      <c r="U53" s="397"/>
      <c r="V53" s="397"/>
      <c r="W53" s="399"/>
      <c r="X53" s="229" t="s">
        <v>472</v>
      </c>
      <c r="Y53" s="57"/>
    </row>
    <row r="54" spans="1:36">
      <c r="A54" s="42">
        <v>55</v>
      </c>
      <c r="C54" s="238" t="s">
        <v>87</v>
      </c>
      <c r="D54" s="246"/>
      <c r="E54" s="247"/>
      <c r="F54" s="248"/>
      <c r="G54" s="248"/>
      <c r="H54" s="248"/>
      <c r="I54" s="248"/>
      <c r="J54" s="248"/>
      <c r="K54" s="248"/>
      <c r="L54" s="248"/>
      <c r="M54" s="248"/>
      <c r="N54" s="248"/>
      <c r="O54" s="238"/>
      <c r="P54" s="235">
        <v>150</v>
      </c>
      <c r="Q54" s="235">
        <v>150</v>
      </c>
      <c r="R54" s="236">
        <f>+P54-Q54</f>
        <v>0</v>
      </c>
      <c r="S54" s="237">
        <f>IF(Q54=0,"NA",(+P54-Q54)/Q54)</f>
        <v>0</v>
      </c>
      <c r="T54" s="238"/>
      <c r="U54" s="235">
        <v>0</v>
      </c>
      <c r="V54" s="235">
        <v>125</v>
      </c>
      <c r="W54" s="237">
        <f>IF(V54=0,"NA",(+U54-V54)/V54)</f>
        <v>-1</v>
      </c>
      <c r="X54" s="789"/>
      <c r="Y54" s="57"/>
      <c r="AD54" s="1">
        <f>+$P54</f>
        <v>150</v>
      </c>
      <c r="AH54" s="1">
        <f>+$U54</f>
        <v>0</v>
      </c>
    </row>
    <row r="55" spans="1:36" s="2" customFormat="1">
      <c r="A55" s="42">
        <v>56</v>
      </c>
      <c r="B55" s="19" t="s">
        <v>86</v>
      </c>
      <c r="C55" s="19"/>
      <c r="D55" s="36"/>
      <c r="E55" s="82"/>
      <c r="F55" s="82"/>
      <c r="G55" s="82"/>
      <c r="H55" s="82"/>
      <c r="I55" s="82"/>
      <c r="J55" s="82"/>
      <c r="K55" s="82"/>
      <c r="L55" s="82"/>
      <c r="M55" s="82"/>
      <c r="N55" s="82"/>
      <c r="O55" s="36"/>
      <c r="P55" s="19">
        <f>SUM(P52:P54)</f>
        <v>550</v>
      </c>
      <c r="Q55" s="36">
        <f>SUM(Q52:Q54)</f>
        <v>550</v>
      </c>
      <c r="R55" s="36">
        <f>SUM(R52:R54)</f>
        <v>0</v>
      </c>
      <c r="S55" s="20">
        <f>IF(Q55=0,"NA",(+P55-Q55)/Q55)</f>
        <v>0</v>
      </c>
      <c r="U55" s="36">
        <f>SUM(U52:U54)</f>
        <v>0</v>
      </c>
      <c r="V55" s="36">
        <f>SUM(V52:V54)</f>
        <v>458.3</v>
      </c>
      <c r="W55" s="20">
        <f>IF(V55=0,"NA",(+U55-V55)/V55)</f>
        <v>-1</v>
      </c>
      <c r="X55" s="71"/>
      <c r="Y55" s="60"/>
    </row>
    <row r="56" spans="1:36" ht="5.25" customHeight="1">
      <c r="A56" s="42">
        <v>57</v>
      </c>
      <c r="S56" s="4"/>
      <c r="X56" s="70"/>
      <c r="Y56" s="58"/>
    </row>
    <row r="57" spans="1:36" ht="14" customHeight="1">
      <c r="A57" s="42">
        <v>58</v>
      </c>
      <c r="B57" s="36" t="s">
        <v>471</v>
      </c>
      <c r="C57" s="21"/>
      <c r="D57" s="21"/>
      <c r="E57" s="83"/>
      <c r="F57" s="83"/>
      <c r="G57" s="83"/>
      <c r="H57" s="83"/>
      <c r="I57" s="83"/>
      <c r="J57" s="83"/>
      <c r="K57" s="83"/>
      <c r="L57" s="83"/>
      <c r="M57" s="83"/>
      <c r="N57" s="83"/>
      <c r="O57" s="21"/>
      <c r="P57" s="52">
        <v>200</v>
      </c>
      <c r="Q57" s="52">
        <v>200</v>
      </c>
      <c r="R57" s="44">
        <f>+P57-Q57</f>
        <v>0</v>
      </c>
      <c r="S57" s="20">
        <f>IF(Q57=0,"NA",(+P57-Q57)/Q57)</f>
        <v>0</v>
      </c>
      <c r="U57" s="52">
        <v>0</v>
      </c>
      <c r="V57" s="52">
        <v>166.7</v>
      </c>
      <c r="W57" s="20">
        <f>IF(V57=0,"NA",(+U57-V57)/V57)</f>
        <v>-1</v>
      </c>
      <c r="X57" s="400" t="s">
        <v>575</v>
      </c>
      <c r="Y57" s="57" t="s">
        <v>114</v>
      </c>
      <c r="AF57" s="1">
        <f>+$P57</f>
        <v>200</v>
      </c>
      <c r="AJ57" s="1">
        <f>+$U57</f>
        <v>0</v>
      </c>
    </row>
    <row r="58" spans="1:36" ht="19.5" customHeight="1">
      <c r="A58" s="42">
        <v>60</v>
      </c>
      <c r="B58" s="882" t="s">
        <v>22</v>
      </c>
      <c r="S58" s="4"/>
      <c r="X58" s="70"/>
      <c r="Y58" s="58"/>
    </row>
    <row r="59" spans="1:36">
      <c r="A59" s="42">
        <v>61</v>
      </c>
      <c r="C59" s="228" t="s">
        <v>23</v>
      </c>
      <c r="D59" s="240"/>
      <c r="E59" s="241"/>
      <c r="F59" s="242"/>
      <c r="G59" s="242"/>
      <c r="H59" s="242"/>
      <c r="I59" s="242"/>
      <c r="J59" s="242"/>
      <c r="K59" s="242"/>
      <c r="L59" s="242"/>
      <c r="M59" s="242"/>
      <c r="N59" s="242"/>
      <c r="O59" s="228"/>
      <c r="P59" s="253">
        <v>200</v>
      </c>
      <c r="Q59" s="253">
        <v>200</v>
      </c>
      <c r="R59" s="226">
        <f t="shared" ref="R59:R65" si="14">+P59-Q59</f>
        <v>0</v>
      </c>
      <c r="S59" s="227">
        <f t="shared" ref="S59:S66" si="15">IF(Q59=0,"NA",(+P59-Q59)/Q59)</f>
        <v>0</v>
      </c>
      <c r="T59" s="228"/>
      <c r="U59" s="225">
        <v>450</v>
      </c>
      <c r="V59" s="225">
        <v>200</v>
      </c>
      <c r="W59" s="227">
        <f t="shared" ref="W59:W66" si="16">IF(V59=0,"NA",(+U59-V59)/V59)</f>
        <v>1.25</v>
      </c>
      <c r="X59" s="229" t="s">
        <v>500</v>
      </c>
      <c r="Y59" s="58"/>
      <c r="AD59" s="1">
        <f>+$P59</f>
        <v>200</v>
      </c>
      <c r="AH59" s="1">
        <f>+$U59</f>
        <v>450</v>
      </c>
    </row>
    <row r="60" spans="1:36">
      <c r="C60" s="238" t="s">
        <v>24</v>
      </c>
      <c r="D60" s="246"/>
      <c r="E60" s="247"/>
      <c r="F60" s="248"/>
      <c r="G60" s="248"/>
      <c r="H60" s="248"/>
      <c r="I60" s="248"/>
      <c r="J60" s="248"/>
      <c r="K60" s="248"/>
      <c r="L60" s="248"/>
      <c r="M60" s="248"/>
      <c r="N60" s="248"/>
      <c r="O60" s="238"/>
      <c r="P60" s="252">
        <v>300</v>
      </c>
      <c r="Q60" s="252">
        <v>500</v>
      </c>
      <c r="R60" s="236">
        <f>+P60-Q60</f>
        <v>-200</v>
      </c>
      <c r="S60" s="237">
        <f>IF(Q60=0,"NA",(+P60-Q60)/Q60)</f>
        <v>-0.4</v>
      </c>
      <c r="T60" s="238"/>
      <c r="U60" s="235">
        <v>0</v>
      </c>
      <c r="V60" s="235">
        <v>500</v>
      </c>
      <c r="W60" s="237">
        <f>IF(V60=0,"NA",(+U60-V60)/V60)</f>
        <v>-1</v>
      </c>
      <c r="X60" s="790" t="s">
        <v>499</v>
      </c>
      <c r="Y60" s="58"/>
    </row>
    <row r="61" spans="1:36" ht="15.5">
      <c r="A61" s="42">
        <v>62</v>
      </c>
      <c r="D61" s="1"/>
      <c r="E61" s="1"/>
      <c r="F61" s="1"/>
      <c r="G61" s="1"/>
      <c r="H61" s="1"/>
      <c r="I61" s="1"/>
      <c r="J61" s="1"/>
      <c r="K61" s="1"/>
      <c r="L61" s="1"/>
      <c r="M61" s="1"/>
      <c r="N61" s="1"/>
      <c r="W61" s="1"/>
      <c r="X61" s="229" t="s">
        <v>474</v>
      </c>
      <c r="Y61" s="62" t="s">
        <v>113</v>
      </c>
      <c r="AD61" s="1">
        <f>+$P60</f>
        <v>300</v>
      </c>
      <c r="AH61" s="1">
        <f>+$U60</f>
        <v>0</v>
      </c>
    </row>
    <row r="62" spans="1:36">
      <c r="A62" s="42">
        <v>63</v>
      </c>
      <c r="C62" s="238" t="s">
        <v>25</v>
      </c>
      <c r="D62" s="246"/>
      <c r="E62" s="247"/>
      <c r="F62" s="248"/>
      <c r="G62" s="248"/>
      <c r="H62" s="248"/>
      <c r="I62" s="248"/>
      <c r="J62" s="248"/>
      <c r="K62" s="248"/>
      <c r="L62" s="248"/>
      <c r="M62" s="248"/>
      <c r="N62" s="248"/>
      <c r="O62" s="238"/>
      <c r="P62" s="252">
        <v>1000</v>
      </c>
      <c r="Q62" s="252">
        <v>1000</v>
      </c>
      <c r="R62" s="236">
        <f t="shared" si="14"/>
        <v>0</v>
      </c>
      <c r="S62" s="237">
        <f t="shared" si="15"/>
        <v>0</v>
      </c>
      <c r="T62" s="238"/>
      <c r="U62" s="235">
        <v>654</v>
      </c>
      <c r="V62" s="235">
        <v>1000</v>
      </c>
      <c r="W62" s="237">
        <f t="shared" si="16"/>
        <v>-0.34599999999999997</v>
      </c>
      <c r="X62" s="239" t="s">
        <v>582</v>
      </c>
      <c r="Y62" s="63"/>
      <c r="AF62" s="1">
        <f>+$P62</f>
        <v>1000</v>
      </c>
      <c r="AI62" s="1">
        <f t="shared" ref="AH62:AI65" si="17">+$U62</f>
        <v>654</v>
      </c>
    </row>
    <row r="63" spans="1:36">
      <c r="A63" s="42">
        <v>64</v>
      </c>
      <c r="C63" s="233" t="s">
        <v>26</v>
      </c>
      <c r="D63" s="243"/>
      <c r="E63" s="244"/>
      <c r="F63" s="245"/>
      <c r="G63" s="245"/>
      <c r="H63" s="245"/>
      <c r="I63" s="245"/>
      <c r="J63" s="245"/>
      <c r="K63" s="245"/>
      <c r="L63" s="245"/>
      <c r="M63" s="245"/>
      <c r="N63" s="245"/>
      <c r="O63" s="233"/>
      <c r="P63" s="251">
        <v>2000</v>
      </c>
      <c r="Q63" s="251">
        <v>3000</v>
      </c>
      <c r="R63" s="231">
        <f t="shared" si="14"/>
        <v>-1000</v>
      </c>
      <c r="S63" s="232">
        <f t="shared" si="15"/>
        <v>-0.33333333333333331</v>
      </c>
      <c r="T63" s="233"/>
      <c r="U63" s="230">
        <v>322.07</v>
      </c>
      <c r="V63" s="230">
        <v>2500</v>
      </c>
      <c r="W63" s="232">
        <f t="shared" si="16"/>
        <v>-0.87117199999999995</v>
      </c>
      <c r="X63" s="638" t="s">
        <v>583</v>
      </c>
      <c r="Y63" s="61"/>
      <c r="AF63" s="1">
        <f>+$P63</f>
        <v>2000</v>
      </c>
      <c r="AI63" s="1">
        <f t="shared" si="17"/>
        <v>322.07</v>
      </c>
    </row>
    <row r="64" spans="1:36">
      <c r="C64" s="233" t="s">
        <v>290</v>
      </c>
      <c r="D64" s="243"/>
      <c r="E64" s="244"/>
      <c r="F64" s="245"/>
      <c r="G64" s="245"/>
      <c r="H64" s="245"/>
      <c r="I64" s="245"/>
      <c r="J64" s="245"/>
      <c r="K64" s="245"/>
      <c r="L64" s="245"/>
      <c r="M64" s="245"/>
      <c r="N64" s="245"/>
      <c r="O64" s="233"/>
      <c r="P64" s="251">
        <v>200</v>
      </c>
      <c r="Q64" s="251">
        <v>200</v>
      </c>
      <c r="R64" s="231">
        <f>+P64-Q64</f>
        <v>0</v>
      </c>
      <c r="S64" s="232">
        <f>IF(Q64=0,"NA",(+P64-Q64)/Q64)</f>
        <v>0</v>
      </c>
      <c r="T64" s="233"/>
      <c r="U64" s="230">
        <v>0</v>
      </c>
      <c r="V64" s="230">
        <v>166.7</v>
      </c>
      <c r="W64" s="232">
        <f>IF(V64=0,"NA",(+U64-V64)/V64)</f>
        <v>-1</v>
      </c>
      <c r="X64" s="234"/>
      <c r="Y64" s="61"/>
      <c r="AD64" s="1">
        <f>+$P64</f>
        <v>200</v>
      </c>
      <c r="AH64" s="1">
        <f t="shared" si="17"/>
        <v>0</v>
      </c>
    </row>
    <row r="65" spans="1:34" ht="43.5">
      <c r="A65" s="42">
        <v>65</v>
      </c>
      <c r="C65" s="238" t="s">
        <v>112</v>
      </c>
      <c r="D65" s="246"/>
      <c r="E65" s="247"/>
      <c r="F65" s="248"/>
      <c r="G65" s="248"/>
      <c r="H65" s="248"/>
      <c r="I65" s="248"/>
      <c r="J65" s="248"/>
      <c r="K65" s="248"/>
      <c r="L65" s="248"/>
      <c r="M65" s="248"/>
      <c r="N65" s="248"/>
      <c r="O65" s="238"/>
      <c r="P65" s="252">
        <v>1575</v>
      </c>
      <c r="Q65" s="252">
        <v>1575</v>
      </c>
      <c r="R65" s="236">
        <f t="shared" si="14"/>
        <v>0</v>
      </c>
      <c r="S65" s="237">
        <f t="shared" si="15"/>
        <v>0</v>
      </c>
      <c r="T65" s="238"/>
      <c r="U65" s="252">
        <v>286.25</v>
      </c>
      <c r="V65" s="252">
        <v>1312.5</v>
      </c>
      <c r="W65" s="237">
        <f t="shared" si="16"/>
        <v>-0.78190476190476188</v>
      </c>
      <c r="X65" s="400" t="s">
        <v>570</v>
      </c>
      <c r="Y65" s="57" t="s">
        <v>113</v>
      </c>
      <c r="AD65" s="1">
        <f>+$P65</f>
        <v>1575</v>
      </c>
      <c r="AH65" s="1">
        <f t="shared" si="17"/>
        <v>286.25</v>
      </c>
    </row>
    <row r="66" spans="1:34" s="2" customFormat="1">
      <c r="A66" s="42">
        <v>66</v>
      </c>
      <c r="B66" s="19" t="s">
        <v>27</v>
      </c>
      <c r="C66" s="19"/>
      <c r="D66" s="36"/>
      <c r="E66" s="82"/>
      <c r="F66" s="82"/>
      <c r="G66" s="82"/>
      <c r="H66" s="82"/>
      <c r="I66" s="82"/>
      <c r="J66" s="82"/>
      <c r="K66" s="82"/>
      <c r="L66" s="82"/>
      <c r="M66" s="82"/>
      <c r="N66" s="82"/>
      <c r="O66" s="36"/>
      <c r="P66" s="19">
        <f>SUM(P59:P65)</f>
        <v>5275</v>
      </c>
      <c r="Q66" s="36">
        <f>SUM(Q59:Q65)</f>
        <v>6475</v>
      </c>
      <c r="R66" s="36">
        <f>SUM(R59:R65)</f>
        <v>-1200</v>
      </c>
      <c r="S66" s="20">
        <f t="shared" si="15"/>
        <v>-0.18532818532818532</v>
      </c>
      <c r="U66" s="36">
        <f>SUM(U59:U65)</f>
        <v>1712.32</v>
      </c>
      <c r="V66" s="36">
        <f>SUM(V59:V65)</f>
        <v>5679.2</v>
      </c>
      <c r="W66" s="20">
        <f t="shared" si="16"/>
        <v>-0.69849274545710671</v>
      </c>
      <c r="X66" s="71"/>
      <c r="Y66" s="60"/>
    </row>
    <row r="67" spans="1:34" ht="19.5" customHeight="1">
      <c r="A67" s="42">
        <v>68</v>
      </c>
      <c r="B67" s="882" t="s">
        <v>28</v>
      </c>
      <c r="S67" s="4"/>
      <c r="X67" s="70"/>
      <c r="Y67" s="58"/>
      <c r="AD67" s="553">
        <v>0.33300000000000002</v>
      </c>
      <c r="AE67" s="553">
        <v>0.33300000000000002</v>
      </c>
      <c r="AF67" s="553">
        <v>0.33400000000000002</v>
      </c>
    </row>
    <row r="68" spans="1:34" ht="17" customHeight="1">
      <c r="A68" s="42">
        <v>69</v>
      </c>
      <c r="C68" s="228" t="s">
        <v>29</v>
      </c>
      <c r="D68" s="240"/>
      <c r="E68" s="241"/>
      <c r="F68" s="242"/>
      <c r="G68" s="242"/>
      <c r="H68" s="242"/>
      <c r="I68" s="242"/>
      <c r="J68" s="242"/>
      <c r="K68" s="242"/>
      <c r="L68" s="242"/>
      <c r="M68" s="242"/>
      <c r="N68" s="242"/>
      <c r="O68" s="228"/>
      <c r="P68" s="253">
        <v>2500</v>
      </c>
      <c r="Q68" s="253">
        <v>3500</v>
      </c>
      <c r="R68" s="226">
        <f t="shared" ref="R68:R73" si="18">+P68-Q68</f>
        <v>-1000</v>
      </c>
      <c r="S68" s="227">
        <f t="shared" ref="S68:S77" si="19">IF(Q68=0,"NA",(+P68-Q68)/Q68)</f>
        <v>-0.2857142857142857</v>
      </c>
      <c r="T68" s="228"/>
      <c r="U68" s="225">
        <v>1908.94</v>
      </c>
      <c r="V68" s="225">
        <v>2916.7</v>
      </c>
      <c r="W68" s="227">
        <f t="shared" ref="W68:W77" si="20">IF(V68=0,"NA",(+U68-V68)/V68)</f>
        <v>-0.345513765556965</v>
      </c>
      <c r="X68" s="799" t="s">
        <v>508</v>
      </c>
      <c r="Y68" s="61" t="s">
        <v>302</v>
      </c>
      <c r="AD68" s="1">
        <f>+$P68*AD$67</f>
        <v>832.5</v>
      </c>
      <c r="AE68" s="1">
        <f t="shared" ref="AE68:AF73" si="21">+$P68*AE$67</f>
        <v>832.5</v>
      </c>
      <c r="AF68" s="1">
        <f t="shared" si="21"/>
        <v>835</v>
      </c>
      <c r="AH68" s="1">
        <f t="shared" ref="AH68:AH73" si="22">+$U68</f>
        <v>1908.94</v>
      </c>
    </row>
    <row r="69" spans="1:34">
      <c r="A69" s="42">
        <v>70</v>
      </c>
      <c r="C69" s="233" t="s">
        <v>30</v>
      </c>
      <c r="D69" s="243"/>
      <c r="E69" s="244"/>
      <c r="F69" s="245"/>
      <c r="G69" s="245"/>
      <c r="H69" s="245"/>
      <c r="I69" s="245"/>
      <c r="J69" s="245"/>
      <c r="K69" s="245"/>
      <c r="L69" s="245"/>
      <c r="M69" s="245"/>
      <c r="N69" s="245"/>
      <c r="O69" s="233"/>
      <c r="P69" s="230">
        <v>2300</v>
      </c>
      <c r="Q69" s="230">
        <v>2250</v>
      </c>
      <c r="R69" s="231">
        <f t="shared" si="18"/>
        <v>50</v>
      </c>
      <c r="S69" s="232">
        <f t="shared" si="19"/>
        <v>2.2222222222222223E-2</v>
      </c>
      <c r="T69" s="233"/>
      <c r="U69" s="230">
        <v>2403.44</v>
      </c>
      <c r="V69" s="230">
        <v>1875</v>
      </c>
      <c r="W69" s="232">
        <f t="shared" si="20"/>
        <v>0.28183466666666668</v>
      </c>
      <c r="X69" s="799" t="s">
        <v>508</v>
      </c>
      <c r="Y69" s="61" t="s">
        <v>113</v>
      </c>
      <c r="AD69" s="1">
        <f>+$P69*AD$67</f>
        <v>765.90000000000009</v>
      </c>
      <c r="AE69" s="1">
        <f t="shared" si="21"/>
        <v>765.90000000000009</v>
      </c>
      <c r="AF69" s="1">
        <f t="shared" si="21"/>
        <v>768.2</v>
      </c>
      <c r="AH69" s="1">
        <f t="shared" si="22"/>
        <v>2403.44</v>
      </c>
    </row>
    <row r="70" spans="1:34" ht="16.5" customHeight="1">
      <c r="A70" s="42">
        <v>73</v>
      </c>
      <c r="C70" s="238" t="s">
        <v>31</v>
      </c>
      <c r="D70" s="246"/>
      <c r="E70" s="247"/>
      <c r="F70" s="248"/>
      <c r="G70" s="248"/>
      <c r="H70" s="248"/>
      <c r="I70" s="248"/>
      <c r="J70" s="248"/>
      <c r="K70" s="248"/>
      <c r="L70" s="248"/>
      <c r="M70" s="248"/>
      <c r="N70" s="248"/>
      <c r="O70" s="238"/>
      <c r="P70" s="252">
        <v>11000</v>
      </c>
      <c r="Q70" s="252">
        <v>13000</v>
      </c>
      <c r="R70" s="236">
        <f t="shared" si="18"/>
        <v>-2000</v>
      </c>
      <c r="S70" s="237">
        <f t="shared" si="19"/>
        <v>-0.15384615384615385</v>
      </c>
      <c r="T70" s="238"/>
      <c r="U70" s="252">
        <v>8976.7199999999993</v>
      </c>
      <c r="V70" s="235">
        <v>10833.3</v>
      </c>
      <c r="W70" s="237">
        <f t="shared" si="20"/>
        <v>-0.17137714269890061</v>
      </c>
      <c r="X70" s="637" t="s">
        <v>508</v>
      </c>
      <c r="Y70" s="61" t="s">
        <v>133</v>
      </c>
      <c r="AD70" s="1">
        <f t="shared" ref="AD70:AD73" si="23">+$P70*AD$67</f>
        <v>3663</v>
      </c>
      <c r="AE70" s="1">
        <f t="shared" si="21"/>
        <v>3663</v>
      </c>
      <c r="AF70" s="1">
        <f t="shared" si="21"/>
        <v>3674</v>
      </c>
      <c r="AH70" s="1">
        <f t="shared" si="22"/>
        <v>8976.7199999999993</v>
      </c>
    </row>
    <row r="71" spans="1:34" ht="29">
      <c r="C71" s="228"/>
      <c r="D71" s="240"/>
      <c r="E71" s="241"/>
      <c r="F71" s="242"/>
      <c r="G71" s="242"/>
      <c r="H71" s="242"/>
      <c r="I71" s="242"/>
      <c r="J71" s="242"/>
      <c r="K71" s="242"/>
      <c r="L71" s="242"/>
      <c r="M71" s="242"/>
      <c r="N71" s="242"/>
      <c r="O71" s="228"/>
      <c r="P71" s="253"/>
      <c r="Q71" s="253"/>
      <c r="R71" s="226"/>
      <c r="S71" s="227"/>
      <c r="T71" s="228"/>
      <c r="U71" s="253"/>
      <c r="V71" s="225"/>
      <c r="W71" s="227"/>
      <c r="X71" s="229" t="s">
        <v>517</v>
      </c>
      <c r="Y71" s="61"/>
      <c r="Z71" s="2"/>
    </row>
    <row r="72" spans="1:34" ht="29">
      <c r="A72" s="42">
        <v>74</v>
      </c>
      <c r="C72" s="233" t="s">
        <v>32</v>
      </c>
      <c r="D72" s="243"/>
      <c r="E72" s="244"/>
      <c r="F72" s="245"/>
      <c r="G72" s="245"/>
      <c r="H72" s="245"/>
      <c r="I72" s="245"/>
      <c r="J72" s="245"/>
      <c r="K72" s="245"/>
      <c r="L72" s="245"/>
      <c r="M72" s="245"/>
      <c r="N72" s="245"/>
      <c r="O72" s="233"/>
      <c r="P72" s="251">
        <v>800</v>
      </c>
      <c r="Q72" s="251">
        <v>1200</v>
      </c>
      <c r="R72" s="231">
        <f t="shared" si="18"/>
        <v>-400</v>
      </c>
      <c r="S72" s="232">
        <f t="shared" si="19"/>
        <v>-0.33333333333333331</v>
      </c>
      <c r="T72" s="233"/>
      <c r="U72" s="230">
        <v>0</v>
      </c>
      <c r="V72" s="230">
        <v>1000</v>
      </c>
      <c r="W72" s="232">
        <f t="shared" si="20"/>
        <v>-1</v>
      </c>
      <c r="X72" s="638" t="s">
        <v>509</v>
      </c>
      <c r="Y72" s="58"/>
      <c r="AD72" s="1">
        <f t="shared" si="23"/>
        <v>266.40000000000003</v>
      </c>
      <c r="AE72" s="1">
        <f t="shared" si="21"/>
        <v>266.40000000000003</v>
      </c>
      <c r="AF72" s="1">
        <f t="shared" si="21"/>
        <v>267.2</v>
      </c>
      <c r="AH72" s="1">
        <f t="shared" si="22"/>
        <v>0</v>
      </c>
    </row>
    <row r="73" spans="1:34" ht="44" customHeight="1" thickBot="1">
      <c r="A73" s="42">
        <v>75</v>
      </c>
      <c r="C73" s="238" t="s">
        <v>33</v>
      </c>
      <c r="D73" s="246"/>
      <c r="E73" s="937" t="s">
        <v>155</v>
      </c>
      <c r="F73" s="938"/>
      <c r="G73" s="938"/>
      <c r="H73" s="938"/>
      <c r="I73" s="938"/>
      <c r="J73" s="938"/>
      <c r="K73" s="938"/>
      <c r="L73" s="938"/>
      <c r="M73" s="939"/>
      <c r="N73" s="390"/>
      <c r="O73" s="238"/>
      <c r="P73" s="252">
        <v>1700</v>
      </c>
      <c r="Q73" s="252">
        <v>1700</v>
      </c>
      <c r="R73" s="236">
        <f t="shared" si="18"/>
        <v>0</v>
      </c>
      <c r="S73" s="237">
        <f t="shared" si="19"/>
        <v>0</v>
      </c>
      <c r="T73" s="238"/>
      <c r="U73" s="235">
        <v>1406.78</v>
      </c>
      <c r="V73" s="235">
        <v>1416.7</v>
      </c>
      <c r="W73" s="237">
        <f t="shared" si="20"/>
        <v>-7.0021881838074913E-3</v>
      </c>
      <c r="X73" s="239" t="s">
        <v>584</v>
      </c>
      <c r="Y73" s="61" t="s">
        <v>126</v>
      </c>
      <c r="AD73" s="1">
        <f t="shared" si="23"/>
        <v>566.1</v>
      </c>
      <c r="AE73" s="1">
        <f t="shared" si="21"/>
        <v>566.1</v>
      </c>
      <c r="AF73" s="1">
        <f t="shared" si="21"/>
        <v>567.80000000000007</v>
      </c>
      <c r="AH73" s="1">
        <f t="shared" si="22"/>
        <v>1406.78</v>
      </c>
    </row>
    <row r="74" spans="1:34">
      <c r="C74" s="238" t="s">
        <v>274</v>
      </c>
      <c r="D74" s="246"/>
      <c r="E74" s="247"/>
      <c r="F74" s="248"/>
      <c r="G74" s="248"/>
      <c r="H74" s="248"/>
      <c r="I74" s="248"/>
      <c r="J74" s="248"/>
      <c r="K74" s="248"/>
      <c r="L74" s="248"/>
      <c r="M74" s="248"/>
      <c r="N74" s="248"/>
      <c r="O74" s="238"/>
      <c r="P74" s="252">
        <v>1500</v>
      </c>
      <c r="Q74" s="252">
        <v>2500</v>
      </c>
      <c r="R74" s="236">
        <f>+P74-Q74</f>
        <v>-1000</v>
      </c>
      <c r="S74" s="237">
        <f>IF(Q74=0,"NA",(+P74-Q74)/Q74)</f>
        <v>-0.4</v>
      </c>
      <c r="T74" s="238"/>
      <c r="U74" s="235">
        <v>500</v>
      </c>
      <c r="V74" s="235">
        <v>2083.3000000000002</v>
      </c>
      <c r="W74" s="237">
        <f>IF(V74=0,"NA",(+U74-V74)/V74)</f>
        <v>-0.75999615993855907</v>
      </c>
      <c r="X74" s="637" t="s">
        <v>501</v>
      </c>
      <c r="Y74" s="61"/>
    </row>
    <row r="75" spans="1:34" ht="14.5" customHeight="1" thickBot="1">
      <c r="A75" s="42">
        <v>73</v>
      </c>
      <c r="D75" s="1"/>
      <c r="E75" s="1"/>
      <c r="F75" s="1"/>
      <c r="G75" s="1"/>
      <c r="H75" s="1"/>
      <c r="I75" s="1"/>
      <c r="J75" s="1"/>
      <c r="K75" s="1"/>
      <c r="L75" s="1"/>
      <c r="M75" s="1"/>
      <c r="N75" s="1"/>
      <c r="W75" s="1"/>
      <c r="X75" s="797" t="s">
        <v>585</v>
      </c>
      <c r="Y75" s="61" t="s">
        <v>133</v>
      </c>
      <c r="AD75" s="1">
        <f>+$P74*AD$67</f>
        <v>499.5</v>
      </c>
      <c r="AE75" s="1">
        <f>+$P74*AE$67</f>
        <v>499.5</v>
      </c>
      <c r="AF75" s="1">
        <f>+$P74*AF$67</f>
        <v>501.00000000000006</v>
      </c>
      <c r="AH75" s="1">
        <f>+$U74</f>
        <v>500</v>
      </c>
    </row>
    <row r="76" spans="1:34" s="2" customFormat="1">
      <c r="A76" s="42">
        <v>76</v>
      </c>
      <c r="B76" s="19" t="s">
        <v>35</v>
      </c>
      <c r="C76" s="19"/>
      <c r="D76" s="36"/>
      <c r="E76" s="935">
        <f>Bud_Yr</f>
        <v>2022</v>
      </c>
      <c r="F76" s="936"/>
      <c r="G76" s="936"/>
      <c r="H76" s="936"/>
      <c r="I76" s="936">
        <f>Bud_Yr-1</f>
        <v>2021</v>
      </c>
      <c r="J76" s="936"/>
      <c r="K76" s="936"/>
      <c r="L76" s="936"/>
      <c r="M76" s="91">
        <f>Bud_Yr-2</f>
        <v>2020</v>
      </c>
      <c r="N76" s="391"/>
      <c r="O76" s="36"/>
      <c r="P76" s="19">
        <f>SUM(P68:P74)</f>
        <v>19800</v>
      </c>
      <c r="Q76" s="36">
        <f>SUM(Q68:Q74)</f>
        <v>24150</v>
      </c>
      <c r="R76" s="36">
        <f>SUM(R68:R74)</f>
        <v>-4350</v>
      </c>
      <c r="S76" s="20">
        <f t="shared" si="19"/>
        <v>-0.18012422360248448</v>
      </c>
      <c r="U76" s="36">
        <f>SUM(U68:U74)</f>
        <v>15195.88</v>
      </c>
      <c r="V76" s="36">
        <f>SUM(V68:V74)</f>
        <v>20125</v>
      </c>
      <c r="W76" s="20">
        <f t="shared" si="20"/>
        <v>-0.24492521739130438</v>
      </c>
      <c r="X76" s="95"/>
      <c r="Y76" s="60"/>
      <c r="Z76" s="1"/>
    </row>
    <row r="77" spans="1:34" ht="15" thickBot="1">
      <c r="A77" s="42">
        <v>77</v>
      </c>
      <c r="B77" s="19" t="s">
        <v>85</v>
      </c>
      <c r="C77" s="22"/>
      <c r="D77" s="22"/>
      <c r="E77" s="92" t="s">
        <v>153</v>
      </c>
      <c r="F77" s="93" t="s">
        <v>154</v>
      </c>
      <c r="G77" s="93" t="s">
        <v>157</v>
      </c>
      <c r="H77" s="93" t="s">
        <v>152</v>
      </c>
      <c r="I77" s="93" t="s">
        <v>153</v>
      </c>
      <c r="J77" s="93" t="s">
        <v>154</v>
      </c>
      <c r="K77" s="93" t="s">
        <v>157</v>
      </c>
      <c r="L77" s="93" t="s">
        <v>152</v>
      </c>
      <c r="M77" s="94" t="s">
        <v>154</v>
      </c>
      <c r="N77" s="392"/>
      <c r="O77" s="22"/>
      <c r="P77" s="19">
        <f>+P43+P48+P50+P57+P66+P76+P55</f>
        <v>41675</v>
      </c>
      <c r="Q77" s="36">
        <f>+Q43+Q48+Q50+Q57+Q66+Q76+Q55</f>
        <v>52825</v>
      </c>
      <c r="R77" s="36">
        <f>+R43+R48+R50+R57+R66+R76+R55</f>
        <v>-11150</v>
      </c>
      <c r="S77" s="20">
        <f t="shared" si="19"/>
        <v>-0.21107430194036914</v>
      </c>
      <c r="U77" s="36">
        <f>+U43+U48+U50+U57+U66+U76+U55</f>
        <v>21230.519999999997</v>
      </c>
      <c r="V77" s="36">
        <f>+V43+V48+V50+V57+V66+V76+V55</f>
        <v>44168.08</v>
      </c>
      <c r="W77" s="20">
        <f t="shared" si="20"/>
        <v>-0.51932436275246752</v>
      </c>
      <c r="X77" s="70"/>
      <c r="Y77" s="58"/>
    </row>
    <row r="78" spans="1:34" ht="23" customHeight="1">
      <c r="A78" s="42">
        <v>79</v>
      </c>
      <c r="B78" s="6" t="s">
        <v>34</v>
      </c>
      <c r="F78" s="84">
        <v>0</v>
      </c>
      <c r="G78" s="940" t="s">
        <v>98</v>
      </c>
      <c r="H78" s="940"/>
      <c r="K78" s="75" t="s">
        <v>170</v>
      </c>
      <c r="L78" s="84">
        <v>0.01</v>
      </c>
      <c r="O78" s="923" t="s">
        <v>94</v>
      </c>
      <c r="S78" s="4"/>
      <c r="X78" s="70"/>
      <c r="Y78" s="58"/>
    </row>
    <row r="79" spans="1:34" ht="19.5" customHeight="1">
      <c r="A79" s="42">
        <v>80</v>
      </c>
      <c r="B79" s="882" t="s">
        <v>147</v>
      </c>
      <c r="D79" s="867" t="s">
        <v>214</v>
      </c>
      <c r="F79" s="84">
        <v>0</v>
      </c>
      <c r="G79" s="940" t="s">
        <v>99</v>
      </c>
      <c r="H79" s="940"/>
      <c r="K79" s="75"/>
      <c r="O79" s="923"/>
      <c r="R79" s="120"/>
      <c r="S79" s="4"/>
      <c r="U79" s="121"/>
      <c r="V79" s="34"/>
      <c r="X79" s="798" t="s">
        <v>589</v>
      </c>
      <c r="Y79" s="57"/>
    </row>
    <row r="80" spans="1:34" ht="15" customHeight="1">
      <c r="C80" s="393" t="s">
        <v>171</v>
      </c>
      <c r="D80" s="394"/>
      <c r="E80" s="395"/>
      <c r="F80" s="855"/>
      <c r="G80" s="856" t="s">
        <v>263</v>
      </c>
      <c r="H80" s="124"/>
      <c r="I80" s="125"/>
      <c r="J80" s="395"/>
      <c r="K80" s="125"/>
      <c r="L80" s="857"/>
      <c r="M80" s="128"/>
      <c r="N80" s="128"/>
      <c r="O80" s="394"/>
      <c r="P80" s="805">
        <f>+Pastor!Q16</f>
        <v>78499</v>
      </c>
      <c r="Q80" s="805">
        <f>+Pastor!K16</f>
        <v>74510</v>
      </c>
      <c r="R80" s="398">
        <f>+P80-Q80</f>
        <v>3989</v>
      </c>
      <c r="S80" s="399">
        <f>IF(Q80=0,"NA",(+P80-Q80)/Q80)</f>
        <v>5.3536438062005101E-2</v>
      </c>
      <c r="T80" s="393"/>
      <c r="U80" s="397">
        <f>43758.4+18363.62</f>
        <v>62122.020000000004</v>
      </c>
      <c r="V80" s="397">
        <f>43758.3+18333.3</f>
        <v>62091.600000000006</v>
      </c>
      <c r="W80" s="399">
        <f>IF(V80=0,"NA",(+U80-V80)/V80)</f>
        <v>4.8992134201724952E-4</v>
      </c>
      <c r="X80" s="918" t="s">
        <v>590</v>
      </c>
      <c r="Y80" s="57"/>
    </row>
    <row r="81" spans="1:37" ht="14.5" customHeight="1">
      <c r="A81" s="42">
        <v>81</v>
      </c>
      <c r="D81" s="1"/>
      <c r="E81" s="1"/>
      <c r="F81" s="1"/>
      <c r="G81" s="1"/>
      <c r="H81" s="1"/>
      <c r="I81" s="1"/>
      <c r="J81" s="1"/>
      <c r="K81" s="1"/>
      <c r="L81" s="1"/>
      <c r="M81" s="1"/>
      <c r="N81" s="1"/>
      <c r="W81" s="1"/>
      <c r="X81" s="919"/>
      <c r="Y81" s="61" t="s">
        <v>127</v>
      </c>
    </row>
    <row r="82" spans="1:37">
      <c r="A82" s="42">
        <v>82</v>
      </c>
      <c r="C82" s="233" t="s">
        <v>36</v>
      </c>
      <c r="D82" s="243"/>
      <c r="E82" s="244"/>
      <c r="F82" s="260" t="s">
        <v>264</v>
      </c>
      <c r="G82" s="261">
        <f>+(Pastor!I11+P122+P125+P132)-(Pastor!G11+Q122+Q125+Q132)</f>
        <v>-6211</v>
      </c>
      <c r="H82" s="262" t="s">
        <v>301</v>
      </c>
      <c r="I82" s="263"/>
      <c r="J82" s="244"/>
      <c r="K82" s="264"/>
      <c r="L82" s="244"/>
      <c r="M82" s="265"/>
      <c r="N82" s="265"/>
      <c r="O82" s="266"/>
      <c r="P82" s="267">
        <f>+Pastor!Q54</f>
        <v>1500</v>
      </c>
      <c r="Q82" s="267">
        <f>+Pastor!K54</f>
        <v>1500</v>
      </c>
      <c r="R82" s="231">
        <f t="shared" ref="R82:R90" si="24">+P82-Q82</f>
        <v>0</v>
      </c>
      <c r="S82" s="232">
        <f t="shared" ref="S82:S91" si="25">IF(Q82=0,"NA",(+P82-Q82)/Q82)</f>
        <v>0</v>
      </c>
      <c r="T82" s="233"/>
      <c r="U82" s="230">
        <v>0</v>
      </c>
      <c r="V82" s="230">
        <v>1250</v>
      </c>
      <c r="W82" s="232">
        <f t="shared" ref="W82:W91" si="26">IF(V82=0,"NA",(+U82-V82)/V82)</f>
        <v>-1</v>
      </c>
      <c r="X82" s="234" t="s">
        <v>163</v>
      </c>
      <c r="Y82" s="61"/>
    </row>
    <row r="83" spans="1:37" ht="14.5" customHeight="1">
      <c r="C83" s="233" t="s">
        <v>297</v>
      </c>
      <c r="D83" s="243"/>
      <c r="E83" s="244"/>
      <c r="F83" s="260" t="s">
        <v>265</v>
      </c>
      <c r="G83" s="261">
        <f>(+P108+P116+P118+P119)-(Q108+Q116+Q118+Q119)</f>
        <v>-5724</v>
      </c>
      <c r="H83" s="244"/>
      <c r="I83" s="244"/>
      <c r="J83" s="262"/>
      <c r="K83" s="244"/>
      <c r="L83" s="244"/>
      <c r="M83" s="244"/>
      <c r="N83" s="244"/>
      <c r="O83" s="266"/>
      <c r="P83" s="267">
        <f>+Pastor!Q18</f>
        <v>6005</v>
      </c>
      <c r="Q83" s="274">
        <f>+Pastor!K18</f>
        <v>5700</v>
      </c>
      <c r="R83" s="231">
        <f t="shared" si="24"/>
        <v>305</v>
      </c>
      <c r="S83" s="232">
        <f>IF(Q83=0,"NA",(+P83-Q83)/Q83)</f>
        <v>5.3508771929824561E-2</v>
      </c>
      <c r="T83" s="233"/>
      <c r="U83" s="230">
        <v>4750</v>
      </c>
      <c r="V83" s="230">
        <v>4750</v>
      </c>
      <c r="W83" s="232">
        <f>IF(V83=0,"NA",(+U83-V83)/V83)</f>
        <v>0</v>
      </c>
      <c r="X83" s="234" t="s">
        <v>213</v>
      </c>
      <c r="Y83" s="61"/>
    </row>
    <row r="84" spans="1:37" ht="43.5" hidden="1">
      <c r="C84" s="941" t="s">
        <v>169</v>
      </c>
      <c r="D84" s="941"/>
      <c r="E84" s="268"/>
      <c r="F84" s="269" t="s">
        <v>211</v>
      </c>
      <c r="G84" s="270">
        <f>+G82+G83</f>
        <v>-11935</v>
      </c>
      <c r="H84" s="271"/>
      <c r="I84" s="267"/>
      <c r="J84" s="272"/>
      <c r="K84" s="244"/>
      <c r="L84" s="948"/>
      <c r="M84" s="948"/>
      <c r="N84" s="948"/>
      <c r="O84" s="948"/>
      <c r="P84" s="251">
        <v>0</v>
      </c>
      <c r="Q84" s="251">
        <v>0</v>
      </c>
      <c r="R84" s="231">
        <f>+P84-Q84</f>
        <v>0</v>
      </c>
      <c r="S84" s="232" t="str">
        <f>IF(Q84=0,"NA",(+P84-Q84)/Q84)</f>
        <v>NA</v>
      </c>
      <c r="T84" s="233"/>
      <c r="U84" s="230">
        <v>0</v>
      </c>
      <c r="V84" s="230">
        <v>0</v>
      </c>
      <c r="W84" s="232" t="str">
        <f>IF(V84=0,"NA",(+U84-V84)/V84)</f>
        <v>NA</v>
      </c>
      <c r="X84" s="234" t="s">
        <v>195</v>
      </c>
      <c r="Y84" s="61"/>
      <c r="Z84" s="1">
        <v>14003</v>
      </c>
    </row>
    <row r="85" spans="1:37" ht="14" customHeight="1">
      <c r="C85" s="233" t="s">
        <v>165</v>
      </c>
      <c r="D85" s="243"/>
      <c r="E85" s="244"/>
      <c r="F85" s="272"/>
      <c r="G85" s="244"/>
      <c r="H85" s="273"/>
      <c r="I85" s="244"/>
      <c r="J85" s="244"/>
      <c r="K85" s="244"/>
      <c r="L85" s="244"/>
      <c r="M85" s="244"/>
      <c r="N85" s="244"/>
      <c r="O85" s="274"/>
      <c r="P85" s="267">
        <f>+Pastor!Q40</f>
        <v>19013</v>
      </c>
      <c r="Q85" s="267">
        <f>+Pastor!K37</f>
        <v>16544</v>
      </c>
      <c r="R85" s="231">
        <f>+P85-Q85</f>
        <v>2469</v>
      </c>
      <c r="S85" s="232">
        <f>IF(Q85=0,"NA",(+P85-Q85)/Q85)</f>
        <v>0.14923839458413926</v>
      </c>
      <c r="T85" s="233"/>
      <c r="U85" s="230">
        <v>13702.5</v>
      </c>
      <c r="V85" s="251">
        <v>13786.7</v>
      </c>
      <c r="W85" s="232">
        <f>IF(V85=0,"NA",(+U85-V85)/V85)</f>
        <v>-6.1073353304272032E-3</v>
      </c>
      <c r="X85" s="234"/>
      <c r="Y85" s="65" t="s">
        <v>139</v>
      </c>
      <c r="Z85" s="2"/>
    </row>
    <row r="86" spans="1:37" ht="14.4" hidden="1" customHeight="1">
      <c r="C86" s="233" t="s">
        <v>167</v>
      </c>
      <c r="D86" s="243"/>
      <c r="E86" s="244"/>
      <c r="F86" s="244"/>
      <c r="G86" s="244"/>
      <c r="H86" s="275"/>
      <c r="I86" s="244"/>
      <c r="J86" s="244"/>
      <c r="K86" s="244"/>
      <c r="L86" s="244"/>
      <c r="M86" s="244"/>
      <c r="N86" s="244"/>
      <c r="O86" s="276"/>
      <c r="P86" s="267">
        <v>0</v>
      </c>
      <c r="Q86" s="251">
        <v>0</v>
      </c>
      <c r="R86" s="231">
        <f>+P86-Q86</f>
        <v>0</v>
      </c>
      <c r="S86" s="232" t="str">
        <f>IF(Q86=0,"NA",(+P86-Q86)/Q86)</f>
        <v>NA</v>
      </c>
      <c r="T86" s="233"/>
      <c r="U86" s="230">
        <v>0</v>
      </c>
      <c r="V86" s="251">
        <v>0</v>
      </c>
      <c r="W86" s="232" t="str">
        <f>IF(V86=0,"NA",(+U86-V86)/V86)</f>
        <v>NA</v>
      </c>
      <c r="X86" s="234" t="s">
        <v>303</v>
      </c>
      <c r="Y86" s="65" t="s">
        <v>139</v>
      </c>
      <c r="Z86" s="1">
        <v>2342</v>
      </c>
    </row>
    <row r="87" spans="1:37" ht="14.4" customHeight="1">
      <c r="A87" s="42">
        <v>83</v>
      </c>
      <c r="C87" s="233" t="s">
        <v>166</v>
      </c>
      <c r="D87" s="243"/>
      <c r="E87" s="265"/>
      <c r="F87" s="275"/>
      <c r="G87" s="265"/>
      <c r="H87" s="275"/>
      <c r="I87" s="265"/>
      <c r="J87" s="275"/>
      <c r="K87" s="278"/>
      <c r="L87" s="244"/>
      <c r="M87" s="244"/>
      <c r="N87" s="244"/>
      <c r="O87" s="274"/>
      <c r="P87" s="267">
        <f>+Pastor!Q51</f>
        <v>1859</v>
      </c>
      <c r="Q87" s="267">
        <f>+Pastor!K51</f>
        <v>1765</v>
      </c>
      <c r="R87" s="231">
        <f t="shared" si="24"/>
        <v>94</v>
      </c>
      <c r="S87" s="232">
        <f t="shared" si="25"/>
        <v>5.3257790368271954E-2</v>
      </c>
      <c r="T87" s="233"/>
      <c r="U87" s="230">
        <v>1470.5</v>
      </c>
      <c r="V87" s="251">
        <v>1470.8</v>
      </c>
      <c r="W87" s="232">
        <f t="shared" si="26"/>
        <v>-2.0397062822950402E-4</v>
      </c>
      <c r="X87" s="277" t="s">
        <v>586</v>
      </c>
      <c r="Y87" s="65" t="s">
        <v>139</v>
      </c>
    </row>
    <row r="88" spans="1:37">
      <c r="C88" s="233" t="s">
        <v>103</v>
      </c>
      <c r="D88" s="243"/>
      <c r="E88" s="244"/>
      <c r="F88" s="244"/>
      <c r="G88" s="244"/>
      <c r="H88" s="244"/>
      <c r="I88" s="244"/>
      <c r="J88" s="244"/>
      <c r="K88" s="244"/>
      <c r="L88" s="244"/>
      <c r="M88" s="244"/>
      <c r="N88" s="244"/>
      <c r="O88" s="274"/>
      <c r="P88" s="267">
        <f>+Pastor!Q57</f>
        <v>600</v>
      </c>
      <c r="Q88" s="274">
        <f>+Pastor!K57</f>
        <v>600</v>
      </c>
      <c r="R88" s="231">
        <f t="shared" si="24"/>
        <v>0</v>
      </c>
      <c r="S88" s="232">
        <f>IF(Q88=0,"NA",(+P88-Q88)/Q88)</f>
        <v>0</v>
      </c>
      <c r="T88" s="233"/>
      <c r="U88" s="230">
        <v>344.7</v>
      </c>
      <c r="V88" s="230">
        <v>500</v>
      </c>
      <c r="W88" s="232">
        <f>IF(V88=0,"NA",(+U88-V88)/V88)</f>
        <v>-0.31060000000000004</v>
      </c>
      <c r="X88" s="234" t="s">
        <v>164</v>
      </c>
      <c r="Y88" s="61"/>
    </row>
    <row r="89" spans="1:37">
      <c r="C89" s="233" t="s">
        <v>206</v>
      </c>
      <c r="D89" s="243"/>
      <c r="E89" s="244"/>
      <c r="F89" s="245"/>
      <c r="G89" s="245"/>
      <c r="H89" s="245"/>
      <c r="I89" s="245"/>
      <c r="J89" s="245"/>
      <c r="K89" s="245"/>
      <c r="L89" s="245"/>
      <c r="M89" s="245"/>
      <c r="N89" s="245"/>
      <c r="O89" s="279"/>
      <c r="P89" s="267">
        <f>+Pastor!Q58</f>
        <v>480</v>
      </c>
      <c r="Q89" s="274">
        <f>+Pastor!K58</f>
        <v>480</v>
      </c>
      <c r="R89" s="231">
        <f>+P89-Q89</f>
        <v>0</v>
      </c>
      <c r="S89" s="232">
        <f>IF(Q89=0,"NA",(+P89-Q89)/Q89)</f>
        <v>0</v>
      </c>
      <c r="T89" s="233"/>
      <c r="U89" s="230">
        <v>360</v>
      </c>
      <c r="V89" s="230">
        <v>360</v>
      </c>
      <c r="W89" s="232">
        <f>IF(V89=0,"NA",(+U89-V89)/V89)</f>
        <v>0</v>
      </c>
      <c r="X89" s="234" t="s">
        <v>215</v>
      </c>
      <c r="Y89" s="61"/>
    </row>
    <row r="90" spans="1:37">
      <c r="A90" s="42">
        <v>85</v>
      </c>
      <c r="C90" s="238" t="s">
        <v>37</v>
      </c>
      <c r="D90" s="246"/>
      <c r="E90" s="247"/>
      <c r="F90" s="248"/>
      <c r="G90" s="248"/>
      <c r="H90" s="248"/>
      <c r="I90" s="248"/>
      <c r="J90" s="248"/>
      <c r="K90" s="248"/>
      <c r="L90" s="248"/>
      <c r="M90" s="248"/>
      <c r="N90" s="248"/>
      <c r="O90" s="280"/>
      <c r="P90" s="281">
        <f>+Pastor!Q55</f>
        <v>1300</v>
      </c>
      <c r="Q90" s="389">
        <f>+Pastor!K55</f>
        <v>1000</v>
      </c>
      <c r="R90" s="236">
        <f t="shared" si="24"/>
        <v>300</v>
      </c>
      <c r="S90" s="237">
        <f t="shared" si="25"/>
        <v>0.3</v>
      </c>
      <c r="T90" s="238"/>
      <c r="U90" s="235">
        <v>590.48</v>
      </c>
      <c r="V90" s="235">
        <v>833.3</v>
      </c>
      <c r="W90" s="237">
        <f t="shared" si="26"/>
        <v>-0.291395655826233</v>
      </c>
      <c r="X90" s="239" t="s">
        <v>566</v>
      </c>
      <c r="Y90" s="61"/>
      <c r="AD90" s="383">
        <v>0.4</v>
      </c>
      <c r="AE90" s="383">
        <v>0.15</v>
      </c>
      <c r="AF90" s="383">
        <v>0.4</v>
      </c>
      <c r="AG90" s="383">
        <v>0.05</v>
      </c>
      <c r="AH90" s="34">
        <f>+AD90</f>
        <v>0.4</v>
      </c>
      <c r="AI90" s="34">
        <f>+AE90</f>
        <v>0.15</v>
      </c>
      <c r="AJ90" s="34">
        <f>+AF90</f>
        <v>0.4</v>
      </c>
      <c r="AK90" s="34">
        <f>+AG90</f>
        <v>0.05</v>
      </c>
    </row>
    <row r="91" spans="1:37" s="2" customFormat="1">
      <c r="A91" s="42">
        <v>86</v>
      </c>
      <c r="B91" s="23" t="s">
        <v>148</v>
      </c>
      <c r="C91" s="23"/>
      <c r="D91" s="23"/>
      <c r="E91" s="85"/>
      <c r="F91" s="85"/>
      <c r="G91" s="85"/>
      <c r="H91" s="85"/>
      <c r="I91" s="85"/>
      <c r="J91" s="85"/>
      <c r="K91" s="85"/>
      <c r="L91" s="85"/>
      <c r="M91" s="85"/>
      <c r="N91" s="85"/>
      <c r="O91" s="23"/>
      <c r="P91" s="23">
        <f>SUM(P80:P90)</f>
        <v>109256</v>
      </c>
      <c r="Q91" s="23">
        <f>SUM(Q80:Q90)</f>
        <v>102099</v>
      </c>
      <c r="R91" s="23">
        <f>SUM(R80:R90)</f>
        <v>7157</v>
      </c>
      <c r="S91" s="24">
        <f t="shared" si="25"/>
        <v>7.0098629761310108E-2</v>
      </c>
      <c r="U91" s="23">
        <f>SUM(U80:U90)</f>
        <v>83340.2</v>
      </c>
      <c r="V91" s="23">
        <f>SUM(V80:V90)</f>
        <v>85042.400000000009</v>
      </c>
      <c r="W91" s="24">
        <f t="shared" si="26"/>
        <v>-2.0015897952080509E-2</v>
      </c>
      <c r="X91" s="71"/>
      <c r="Y91" s="60"/>
      <c r="Z91" s="1"/>
      <c r="AD91" s="2">
        <f>+$P91*AD90</f>
        <v>43702.400000000001</v>
      </c>
      <c r="AE91" s="2">
        <f t="shared" ref="AE91:AG91" si="27">+$P91*AE90</f>
        <v>16388.399999999998</v>
      </c>
      <c r="AF91" s="2">
        <f t="shared" si="27"/>
        <v>43702.400000000001</v>
      </c>
      <c r="AG91" s="2">
        <f t="shared" si="27"/>
        <v>5462.8</v>
      </c>
      <c r="AH91" s="2">
        <f>+U91*AH90</f>
        <v>33336.080000000002</v>
      </c>
      <c r="AI91" s="2">
        <f>+U91*AI90</f>
        <v>12501.029999999999</v>
      </c>
      <c r="AJ91" s="2">
        <f>+U91*AJ90</f>
        <v>33336.080000000002</v>
      </c>
      <c r="AK91" s="2">
        <f>+V91*AK90</f>
        <v>4252.1200000000008</v>
      </c>
    </row>
    <row r="92" spans="1:37" ht="19.5" customHeight="1">
      <c r="A92" s="42">
        <v>80</v>
      </c>
      <c r="B92" s="882" t="s">
        <v>294</v>
      </c>
      <c r="D92" s="867" t="s">
        <v>368</v>
      </c>
      <c r="F92" s="433"/>
      <c r="G92" s="942"/>
      <c r="H92" s="942"/>
      <c r="R92" s="120"/>
      <c r="S92" s="38"/>
      <c r="U92" s="121"/>
      <c r="V92" s="34"/>
      <c r="W92" s="38"/>
      <c r="X92" s="61"/>
      <c r="Y92" s="57"/>
    </row>
    <row r="93" spans="1:37" ht="14.5" customHeight="1">
      <c r="A93" s="42">
        <v>81</v>
      </c>
      <c r="C93" s="228" t="s">
        <v>171</v>
      </c>
      <c r="D93" s="240"/>
      <c r="E93" s="241"/>
      <c r="F93" s="254"/>
      <c r="G93" s="345"/>
      <c r="H93" s="255"/>
      <c r="I93" s="256"/>
      <c r="J93" s="241"/>
      <c r="K93" s="256"/>
      <c r="L93" s="257"/>
      <c r="M93" s="258"/>
      <c r="N93" s="258"/>
      <c r="O93" s="240"/>
      <c r="P93" s="259">
        <f>+'Assoc. Pastor'!I15</f>
        <v>66953</v>
      </c>
      <c r="Q93" s="259">
        <f>+'Assoc. Pastor'!E15</f>
        <v>65087</v>
      </c>
      <c r="R93" s="226">
        <f t="shared" ref="R93:R95" si="28">+P93-Q93</f>
        <v>1866</v>
      </c>
      <c r="S93" s="227">
        <f t="shared" ref="S93:S94" si="29">IF(Q93=0,"NA",(+P93-Q93)/Q93)</f>
        <v>2.866931952617266E-2</v>
      </c>
      <c r="T93" s="228"/>
      <c r="U93" s="225">
        <f>37572.6+16666.8</f>
        <v>54239.399999999994</v>
      </c>
      <c r="V93" s="225">
        <f>37572.5+16666.7</f>
        <v>54239.199999999997</v>
      </c>
      <c r="W93" s="227">
        <f t="shared" ref="W93:W94" si="30">IF(V93=0,"NA",(+U93-V93)/V93)</f>
        <v>3.6873700201531297E-6</v>
      </c>
      <c r="X93" s="799" t="s">
        <v>567</v>
      </c>
      <c r="Y93" s="61" t="s">
        <v>127</v>
      </c>
    </row>
    <row r="94" spans="1:37">
      <c r="A94" s="42">
        <v>82</v>
      </c>
      <c r="C94" s="233" t="s">
        <v>36</v>
      </c>
      <c r="D94" s="243"/>
      <c r="E94" s="244"/>
      <c r="F94" s="260"/>
      <c r="G94" s="261"/>
      <c r="H94" s="262"/>
      <c r="I94" s="263"/>
      <c r="J94" s="244"/>
      <c r="K94" s="264"/>
      <c r="L94" s="244"/>
      <c r="M94" s="265"/>
      <c r="N94" s="265"/>
      <c r="O94" s="266"/>
      <c r="P94" s="267">
        <f>+'Assoc. Pastor'!I46</f>
        <v>1200</v>
      </c>
      <c r="Q94" s="267">
        <f>+'Assoc. Pastor'!E46</f>
        <v>1200</v>
      </c>
      <c r="R94" s="231">
        <f t="shared" si="28"/>
        <v>0</v>
      </c>
      <c r="S94" s="232">
        <f t="shared" si="29"/>
        <v>0</v>
      </c>
      <c r="T94" s="233"/>
      <c r="U94" s="230">
        <v>0</v>
      </c>
      <c r="V94" s="230">
        <v>1000</v>
      </c>
      <c r="W94" s="232">
        <f t="shared" si="30"/>
        <v>-1</v>
      </c>
      <c r="X94" s="234" t="s">
        <v>163</v>
      </c>
      <c r="Y94" s="61"/>
    </row>
    <row r="95" spans="1:37" ht="14.5" customHeight="1">
      <c r="C95" s="233" t="s">
        <v>297</v>
      </c>
      <c r="D95" s="243"/>
      <c r="E95" s="244"/>
      <c r="F95" s="260"/>
      <c r="G95" s="261"/>
      <c r="H95" s="244"/>
      <c r="I95" s="244"/>
      <c r="J95" s="262"/>
      <c r="K95" s="244"/>
      <c r="L95" s="244"/>
      <c r="M95" s="244"/>
      <c r="N95" s="244"/>
      <c r="O95" s="266"/>
      <c r="P95" s="267">
        <f>+'Assoc. Pastor'!I18</f>
        <v>5122</v>
      </c>
      <c r="Q95" s="267">
        <f>+'Assoc. Pastor'!E18</f>
        <v>4979</v>
      </c>
      <c r="R95" s="231">
        <f t="shared" si="28"/>
        <v>143</v>
      </c>
      <c r="S95" s="232">
        <f>IF(Q95=0,"NA",(+P95-Q95)/Q95)</f>
        <v>2.8720626631853787E-2</v>
      </c>
      <c r="T95" s="233"/>
      <c r="U95" s="230">
        <v>4149.2</v>
      </c>
      <c r="V95" s="230">
        <v>4149.2</v>
      </c>
      <c r="W95" s="232">
        <f>IF(V95=0,"NA",(+U95-V95)/V95)</f>
        <v>0</v>
      </c>
      <c r="X95" s="234" t="s">
        <v>213</v>
      </c>
      <c r="Y95" s="61"/>
      <c r="AA95" s="425"/>
    </row>
    <row r="96" spans="1:37" ht="14" customHeight="1">
      <c r="C96" s="233" t="s">
        <v>165</v>
      </c>
      <c r="D96" s="243"/>
      <c r="E96" s="244"/>
      <c r="F96" s="272"/>
      <c r="G96" s="244"/>
      <c r="H96" s="273"/>
      <c r="I96" s="244"/>
      <c r="J96" s="244"/>
      <c r="K96" s="244"/>
      <c r="L96" s="244"/>
      <c r="M96" s="244"/>
      <c r="N96" s="244"/>
      <c r="O96" s="274"/>
      <c r="P96" s="267">
        <f>+'Assoc. Pastor'!I37</f>
        <v>11532</v>
      </c>
      <c r="Q96" s="267">
        <f>+'Assoc. Pastor'!E37</f>
        <v>11211</v>
      </c>
      <c r="R96" s="231">
        <f>+P96-Q96</f>
        <v>321</v>
      </c>
      <c r="S96" s="232">
        <f>IF(Q96=0,"NA",(+P96-Q96)/Q96)</f>
        <v>2.8632592989028632E-2</v>
      </c>
      <c r="T96" s="233"/>
      <c r="U96" s="230">
        <v>9342.1</v>
      </c>
      <c r="V96" s="251">
        <v>9342.5</v>
      </c>
      <c r="W96" s="232">
        <f>IF(V96=0,"NA",(+U96-V96)/V96)</f>
        <v>-4.2815092320003878E-5</v>
      </c>
      <c r="X96" s="234"/>
      <c r="Y96" s="65" t="s">
        <v>139</v>
      </c>
    </row>
    <row r="97" spans="1:36" ht="14.4" hidden="1" customHeight="1">
      <c r="C97" s="233" t="s">
        <v>298</v>
      </c>
      <c r="D97" s="243"/>
      <c r="E97" s="244"/>
      <c r="F97" s="244"/>
      <c r="G97" s="244"/>
      <c r="H97" s="275"/>
      <c r="I97" s="244"/>
      <c r="J97" s="244"/>
      <c r="K97" s="244"/>
      <c r="L97" s="244"/>
      <c r="M97" s="244"/>
      <c r="N97" s="244"/>
      <c r="O97" s="276"/>
      <c r="P97" s="251">
        <v>0</v>
      </c>
      <c r="Q97" s="251">
        <v>0</v>
      </c>
      <c r="R97" s="231">
        <f>+P97-Q97</f>
        <v>0</v>
      </c>
      <c r="S97" s="232" t="str">
        <f>IF(Q97=0,"NA",(+P97-Q97)/Q97)</f>
        <v>NA</v>
      </c>
      <c r="T97" s="233"/>
      <c r="U97" s="230">
        <v>0</v>
      </c>
      <c r="V97" s="251">
        <v>0</v>
      </c>
      <c r="W97" s="232" t="str">
        <f>IF(V97=0,"NA",(+U97-V97)/V97)</f>
        <v>NA</v>
      </c>
      <c r="X97" s="234" t="s">
        <v>369</v>
      </c>
      <c r="Y97" s="65"/>
      <c r="Z97" s="2"/>
    </row>
    <row r="98" spans="1:36" ht="14.4" customHeight="1">
      <c r="A98" s="42">
        <v>83</v>
      </c>
      <c r="C98" s="233" t="s">
        <v>166</v>
      </c>
      <c r="D98" s="243"/>
      <c r="E98" s="265"/>
      <c r="F98" s="275"/>
      <c r="G98" s="265"/>
      <c r="H98" s="275"/>
      <c r="I98" s="265"/>
      <c r="J98" s="275"/>
      <c r="K98" s="278"/>
      <c r="L98" s="244"/>
      <c r="M98" s="244"/>
      <c r="N98" s="244"/>
      <c r="O98" s="274"/>
      <c r="P98" s="267">
        <f>+'Assoc. Pastor'!I44</f>
        <v>1586</v>
      </c>
      <c r="Q98" s="267">
        <f>+'Assoc. Pastor'!E44</f>
        <v>1541</v>
      </c>
      <c r="R98" s="231">
        <f t="shared" ref="R98:R99" si="31">+P98-Q98</f>
        <v>45</v>
      </c>
      <c r="S98" s="232">
        <f t="shared" ref="S98" si="32">IF(Q98=0,"NA",(+P98-Q98)/Q98)</f>
        <v>2.9201817001946788E-2</v>
      </c>
      <c r="T98" s="233"/>
      <c r="U98" s="230">
        <v>1284.5</v>
      </c>
      <c r="V98" s="251">
        <v>1284.2</v>
      </c>
      <c r="W98" s="232">
        <f t="shared" ref="W98" si="33">IF(V98=0,"NA",(+U98-V98)/V98)</f>
        <v>2.3360847220055638E-4</v>
      </c>
      <c r="X98" s="277" t="s">
        <v>586</v>
      </c>
      <c r="Y98" s="65" t="s">
        <v>139</v>
      </c>
    </row>
    <row r="99" spans="1:36">
      <c r="C99" s="233" t="s">
        <v>103</v>
      </c>
      <c r="D99" s="243"/>
      <c r="E99" s="244"/>
      <c r="F99" s="244"/>
      <c r="G99" s="244"/>
      <c r="H99" s="244"/>
      <c r="I99" s="244"/>
      <c r="J99" s="244"/>
      <c r="K99" s="244"/>
      <c r="L99" s="244"/>
      <c r="M99" s="244"/>
      <c r="N99" s="244"/>
      <c r="O99" s="274"/>
      <c r="P99" s="267">
        <f>+'Assoc. Pastor'!I50</f>
        <v>600</v>
      </c>
      <c r="Q99" s="267">
        <f>+'Assoc. Pastor'!E50</f>
        <v>600</v>
      </c>
      <c r="R99" s="231">
        <f t="shared" si="31"/>
        <v>0</v>
      </c>
      <c r="S99" s="232">
        <f>IF(Q99=0,"NA",(+P99-Q99)/Q99)</f>
        <v>0</v>
      </c>
      <c r="T99" s="233"/>
      <c r="U99" s="230">
        <v>0</v>
      </c>
      <c r="V99" s="230">
        <v>500</v>
      </c>
      <c r="W99" s="232">
        <f>IF(V99=0,"NA",(+U99-V99)/V99)</f>
        <v>-1</v>
      </c>
      <c r="X99" s="234" t="s">
        <v>163</v>
      </c>
      <c r="Y99" s="61"/>
    </row>
    <row r="100" spans="1:36">
      <c r="C100" s="233" t="s">
        <v>206</v>
      </c>
      <c r="D100" s="243"/>
      <c r="E100" s="244"/>
      <c r="F100" s="245"/>
      <c r="G100" s="245"/>
      <c r="H100" s="245"/>
      <c r="I100" s="245"/>
      <c r="J100" s="245"/>
      <c r="K100" s="245"/>
      <c r="L100" s="245"/>
      <c r="M100" s="245"/>
      <c r="N100" s="245"/>
      <c r="O100" s="279"/>
      <c r="P100" s="267">
        <f>+'Assoc. Pastor'!I51</f>
        <v>480</v>
      </c>
      <c r="Q100" s="267">
        <f>+'Assoc. Pastor'!E51</f>
        <v>480</v>
      </c>
      <c r="R100" s="231">
        <f>+P100-Q100</f>
        <v>0</v>
      </c>
      <c r="S100" s="232">
        <f>IF(Q100=0,"NA",(+P100-Q100)/Q100)</f>
        <v>0</v>
      </c>
      <c r="T100" s="233"/>
      <c r="U100" s="230">
        <v>360</v>
      </c>
      <c r="V100" s="230">
        <v>360</v>
      </c>
      <c r="W100" s="232">
        <f>IF(V100=0,"NA",(+U100-V100)/V100)</f>
        <v>0</v>
      </c>
      <c r="X100" s="234" t="s">
        <v>215</v>
      </c>
      <c r="Y100" s="61"/>
    </row>
    <row r="101" spans="1:36">
      <c r="A101" s="42">
        <v>85</v>
      </c>
      <c r="C101" s="233" t="s">
        <v>37</v>
      </c>
      <c r="D101" s="243"/>
      <c r="E101" s="244"/>
      <c r="F101" s="245"/>
      <c r="G101" s="245"/>
      <c r="H101" s="245"/>
      <c r="I101" s="245"/>
      <c r="J101" s="245"/>
      <c r="K101" s="245"/>
      <c r="L101" s="245"/>
      <c r="M101" s="245"/>
      <c r="N101" s="245"/>
      <c r="O101" s="283"/>
      <c r="P101" s="267">
        <f>+'Assoc. Pastor'!I47</f>
        <v>1300</v>
      </c>
      <c r="Q101" s="267">
        <f>+'Assoc. Pastor'!E47</f>
        <v>1300</v>
      </c>
      <c r="R101" s="231">
        <f t="shared" ref="R101:R102" si="34">+P101-Q101</f>
        <v>0</v>
      </c>
      <c r="S101" s="232">
        <f t="shared" ref="S101:S103" si="35">IF(Q101=0,"NA",(+P101-Q101)/Q101)</f>
        <v>0</v>
      </c>
      <c r="T101" s="233"/>
      <c r="U101" s="230">
        <v>497</v>
      </c>
      <c r="V101" s="230">
        <v>1083.3</v>
      </c>
      <c r="W101" s="232">
        <f t="shared" ref="W101:W103" si="36">IF(V101=0,"NA",(+U101-V101)/V101)</f>
        <v>-0.5412166528200868</v>
      </c>
      <c r="X101" s="234" t="s">
        <v>163</v>
      </c>
      <c r="Y101" s="61"/>
      <c r="AD101" s="383">
        <v>0.4</v>
      </c>
      <c r="AE101" s="383">
        <v>0.4</v>
      </c>
      <c r="AF101" s="383">
        <v>0.2</v>
      </c>
      <c r="AH101" s="34">
        <f>+AD101</f>
        <v>0.4</v>
      </c>
      <c r="AI101" s="34">
        <f>+AE101</f>
        <v>0.4</v>
      </c>
      <c r="AJ101" s="34">
        <f>+AF101</f>
        <v>0.2</v>
      </c>
    </row>
    <row r="102" spans="1:36" hidden="1">
      <c r="C102" s="233" t="s">
        <v>293</v>
      </c>
      <c r="D102" s="243"/>
      <c r="E102" s="244"/>
      <c r="F102" s="245"/>
      <c r="G102" s="245"/>
      <c r="H102" s="245"/>
      <c r="I102" s="245"/>
      <c r="J102" s="245"/>
      <c r="K102" s="245"/>
      <c r="L102" s="245"/>
      <c r="M102" s="245"/>
      <c r="N102" s="245"/>
      <c r="O102" s="283"/>
      <c r="P102" s="267">
        <f>+'Assoc. Pastor'!I52</f>
        <v>0</v>
      </c>
      <c r="Q102" s="267">
        <f>+'Assoc. Pastor'!E52</f>
        <v>0</v>
      </c>
      <c r="R102" s="231">
        <f t="shared" si="34"/>
        <v>0</v>
      </c>
      <c r="S102" s="232" t="str">
        <f t="shared" si="35"/>
        <v>NA</v>
      </c>
      <c r="T102" s="233"/>
      <c r="U102" s="230">
        <v>0</v>
      </c>
      <c r="V102" s="230">
        <v>0</v>
      </c>
      <c r="W102" s="232" t="str">
        <f t="shared" ref="W102" si="37">IF(V102=0,"NA",(+U102-V102)/V102)</f>
        <v>NA</v>
      </c>
      <c r="X102" s="234" t="s">
        <v>370</v>
      </c>
      <c r="Y102" s="61"/>
      <c r="AD102" s="383"/>
      <c r="AE102" s="383"/>
      <c r="AF102" s="383"/>
      <c r="AH102" s="34"/>
      <c r="AI102" s="34"/>
      <c r="AJ102" s="34"/>
    </row>
    <row r="103" spans="1:36" s="2" customFormat="1">
      <c r="A103" s="42">
        <v>86</v>
      </c>
      <c r="B103" s="23" t="s">
        <v>295</v>
      </c>
      <c r="C103" s="23"/>
      <c r="D103" s="23"/>
      <c r="E103" s="85"/>
      <c r="F103" s="85"/>
      <c r="G103" s="85"/>
      <c r="H103" s="85"/>
      <c r="I103" s="85"/>
      <c r="J103" s="85"/>
      <c r="K103" s="85"/>
      <c r="L103" s="85"/>
      <c r="M103" s="85"/>
      <c r="N103" s="85"/>
      <c r="O103" s="23"/>
      <c r="P103" s="23">
        <f>SUM(P93:P102)</f>
        <v>88773</v>
      </c>
      <c r="Q103" s="23">
        <f>SUM(Q93:Q102)</f>
        <v>86398</v>
      </c>
      <c r="R103" s="23">
        <f>SUM(R93:R102)</f>
        <v>2375</v>
      </c>
      <c r="S103" s="24">
        <f t="shared" si="35"/>
        <v>2.7489062246811267E-2</v>
      </c>
      <c r="U103" s="23">
        <f>SUM(U93:U102)</f>
        <v>69872.2</v>
      </c>
      <c r="V103" s="23">
        <f>SUM(V93:V102)</f>
        <v>71958.399999999994</v>
      </c>
      <c r="W103" s="24">
        <f t="shared" si="36"/>
        <v>-2.8991750789344916E-2</v>
      </c>
      <c r="X103" s="71"/>
      <c r="Y103" s="60"/>
      <c r="Z103" s="1"/>
      <c r="AD103" s="2">
        <f>+$P103*AD101</f>
        <v>35509.200000000004</v>
      </c>
      <c r="AE103" s="2">
        <f t="shared" ref="AE103:AF103" si="38">+$P103*AE101</f>
        <v>35509.200000000004</v>
      </c>
      <c r="AF103" s="2">
        <f t="shared" si="38"/>
        <v>17754.600000000002</v>
      </c>
      <c r="AH103" s="2">
        <f>+U103*AH101</f>
        <v>27948.880000000001</v>
      </c>
      <c r="AI103" s="2">
        <f>+U103*AI101</f>
        <v>27948.880000000001</v>
      </c>
      <c r="AJ103" s="2">
        <f>+U103*AJ101</f>
        <v>13974.44</v>
      </c>
    </row>
    <row r="104" spans="1:36" s="866" customFormat="1" ht="19.5" customHeight="1">
      <c r="A104" s="865">
        <v>93</v>
      </c>
      <c r="B104" s="882" t="s">
        <v>475</v>
      </c>
      <c r="D104" s="867"/>
      <c r="E104" s="868"/>
      <c r="F104" s="869"/>
      <c r="G104" s="869"/>
      <c r="H104" s="869"/>
      <c r="I104" s="869"/>
      <c r="J104" s="869"/>
      <c r="K104" s="869"/>
      <c r="L104" s="869"/>
      <c r="M104" s="869"/>
      <c r="N104" s="869"/>
      <c r="S104" s="869"/>
      <c r="W104" s="869"/>
      <c r="X104" s="870"/>
      <c r="Y104" s="871"/>
    </row>
    <row r="105" spans="1:36" ht="30" customHeight="1">
      <c r="A105" s="42">
        <v>95</v>
      </c>
      <c r="C105" s="393" t="s">
        <v>40</v>
      </c>
      <c r="D105" s="394"/>
      <c r="E105" s="800">
        <v>2</v>
      </c>
      <c r="F105" s="858">
        <f>ROUND(+J105*(1+H105),2)</f>
        <v>10</v>
      </c>
      <c r="G105" s="800">
        <v>40</v>
      </c>
      <c r="H105" s="859">
        <v>0</v>
      </c>
      <c r="I105" s="800">
        <v>4</v>
      </c>
      <c r="J105" s="801">
        <v>10</v>
      </c>
      <c r="K105" s="800">
        <v>40</v>
      </c>
      <c r="L105" s="399">
        <f>IF(M105=0,0,(+J105-M105)/M105)</f>
        <v>0</v>
      </c>
      <c r="M105" s="803">
        <v>10</v>
      </c>
      <c r="N105" s="803"/>
      <c r="O105" s="393"/>
      <c r="P105" s="401">
        <v>800</v>
      </c>
      <c r="Q105" s="401">
        <v>800</v>
      </c>
      <c r="R105" s="398">
        <f>+P105-Q105</f>
        <v>0</v>
      </c>
      <c r="S105" s="399">
        <f>IF(Q105=0,"NA",(+P105-Q105)/Q105)</f>
        <v>0</v>
      </c>
      <c r="T105" s="393"/>
      <c r="U105" s="401">
        <v>151</v>
      </c>
      <c r="V105" s="397">
        <v>622.23</v>
      </c>
      <c r="W105" s="399">
        <f>IF(V105=0,"NA",(+U105-V105)/V105)</f>
        <v>-0.7573244620156534</v>
      </c>
      <c r="X105" s="860" t="str">
        <f>Bud_Yr&amp;":  avg "&amp;E105&amp;" hrs/week at $"&amp;F105&amp;"/hr ("&amp;ROUND(H105*100,1)&amp;"% incr.) for "&amp;G105&amp;" wks (Sept-May, excluding Lent) x 2 people.  "&amp;Bud_Yr-1&amp;":  avg "&amp;I105&amp;" hrs/wk at $"&amp;J105&amp;"/hr ("&amp;ROUND(L105*100,1)&amp;"% incr.) for "&amp;K105&amp;" wks."</f>
        <v>2022:  avg 2 hrs/week at $10/hr (0% incr.) for 40 wks (Sept-May, excluding Lent) x 2 people.  2021:  avg 4 hrs/wk at $10/hr (0% incr.) for 40 wks.</v>
      </c>
      <c r="Y105" s="1" t="s">
        <v>115</v>
      </c>
      <c r="AE105" s="1">
        <f>+$P105</f>
        <v>800</v>
      </c>
      <c r="AI105" s="1">
        <f>+$U105</f>
        <v>151</v>
      </c>
    </row>
    <row r="106" spans="1:36" s="2" customFormat="1">
      <c r="A106" s="42">
        <v>96</v>
      </c>
      <c r="B106" s="23" t="s">
        <v>476</v>
      </c>
      <c r="C106" s="23"/>
      <c r="D106" s="23"/>
      <c r="E106" s="85"/>
      <c r="F106" s="85"/>
      <c r="G106" s="85"/>
      <c r="H106" s="85"/>
      <c r="I106" s="85"/>
      <c r="J106" s="85"/>
      <c r="K106" s="85"/>
      <c r="L106" s="85"/>
      <c r="M106" s="85"/>
      <c r="N106" s="85"/>
      <c r="O106" s="23"/>
      <c r="P106" s="23">
        <f>SUM(P105:P105)</f>
        <v>800</v>
      </c>
      <c r="Q106" s="23">
        <f>SUM(Q105:Q105)</f>
        <v>800</v>
      </c>
      <c r="R106" s="23">
        <f>SUM(R105:R105)</f>
        <v>0</v>
      </c>
      <c r="S106" s="24">
        <f>IF(Q106=0,"NA",(+P106-Q106)/Q106)</f>
        <v>0</v>
      </c>
      <c r="U106" s="23">
        <f>SUM(U105:U105)</f>
        <v>151</v>
      </c>
      <c r="V106" s="23">
        <f>SUM(V105:V105)</f>
        <v>622.23</v>
      </c>
      <c r="W106" s="24">
        <f>IF(V106=0,"NA",(+U106-V106)/V106)</f>
        <v>-0.7573244620156534</v>
      </c>
      <c r="X106" s="71"/>
      <c r="Y106" s="60"/>
      <c r="Z106" s="1"/>
    </row>
    <row r="107" spans="1:36" ht="19.5" customHeight="1">
      <c r="A107" s="42">
        <v>107</v>
      </c>
      <c r="B107" s="882" t="s">
        <v>42</v>
      </c>
      <c r="S107" s="4"/>
      <c r="X107" s="70"/>
      <c r="Y107" s="58"/>
    </row>
    <row r="108" spans="1:36">
      <c r="A108" s="42">
        <v>108</v>
      </c>
      <c r="C108" s="393" t="s">
        <v>105</v>
      </c>
      <c r="D108" s="394"/>
      <c r="E108" s="395"/>
      <c r="F108" s="396"/>
      <c r="G108" s="396"/>
      <c r="H108" s="396"/>
      <c r="I108" s="396"/>
      <c r="J108" s="396"/>
      <c r="K108" s="396"/>
      <c r="L108" s="396"/>
      <c r="M108" s="396"/>
      <c r="N108" s="396"/>
      <c r="O108" s="804"/>
      <c r="P108" s="401">
        <f>ROUND(+Q108*(1+$F$78+0.025),0)</f>
        <v>16795</v>
      </c>
      <c r="Q108" s="397">
        <v>16385</v>
      </c>
      <c r="R108" s="398">
        <f t="shared" ref="R108:R119" si="39">+P108-Q108</f>
        <v>410</v>
      </c>
      <c r="S108" s="399">
        <f t="shared" ref="S108:S120" si="40">IF(Q108=0,"NA",(+P108-Q108)/Q108)</f>
        <v>2.5022886786695148E-2</v>
      </c>
      <c r="T108" s="393"/>
      <c r="U108" s="397">
        <v>13654.2</v>
      </c>
      <c r="V108" s="397">
        <v>13654.2</v>
      </c>
      <c r="W108" s="399">
        <f t="shared" ref="W108:W120" si="41">IF(V108=0,"NA",(+U108-V108)/V108)</f>
        <v>0</v>
      </c>
      <c r="X108" s="400" t="s">
        <v>316</v>
      </c>
      <c r="Y108" s="57" t="s">
        <v>140</v>
      </c>
      <c r="Z108" s="2"/>
      <c r="AD108" s="1">
        <f t="shared" ref="AD108:AE119" si="42">+$P108</f>
        <v>16795</v>
      </c>
      <c r="AH108" s="1">
        <f t="shared" ref="AH108:AI119" si="43">+$U108</f>
        <v>13654.2</v>
      </c>
    </row>
    <row r="109" spans="1:36">
      <c r="C109" s="228"/>
      <c r="D109" s="240"/>
      <c r="E109" s="241"/>
      <c r="F109" s="242"/>
      <c r="G109" s="242"/>
      <c r="H109" s="242"/>
      <c r="I109" s="242"/>
      <c r="J109" s="242"/>
      <c r="K109" s="242"/>
      <c r="L109" s="242"/>
      <c r="M109" s="242"/>
      <c r="N109" s="242"/>
      <c r="O109" s="282"/>
      <c r="P109" s="259"/>
      <c r="Q109" s="225"/>
      <c r="R109" s="226"/>
      <c r="S109" s="227"/>
      <c r="T109" s="228"/>
      <c r="U109" s="225"/>
      <c r="V109" s="225"/>
      <c r="W109" s="227"/>
      <c r="X109" s="799" t="s">
        <v>503</v>
      </c>
      <c r="Y109" s="57"/>
      <c r="Z109" s="2"/>
    </row>
    <row r="110" spans="1:36">
      <c r="C110" s="238" t="s">
        <v>218</v>
      </c>
      <c r="D110" s="246"/>
      <c r="E110" s="247"/>
      <c r="F110" s="248"/>
      <c r="G110" s="248"/>
      <c r="H110" s="248"/>
      <c r="I110" s="248"/>
      <c r="J110" s="248"/>
      <c r="K110" s="248"/>
      <c r="L110" s="248"/>
      <c r="M110" s="248"/>
      <c r="N110" s="248"/>
      <c r="O110" s="280"/>
      <c r="P110" s="281">
        <f>+'Band and Other Music'!P12</f>
        <v>3168</v>
      </c>
      <c r="Q110" s="236">
        <f>+'Band and Other Music'!E12</f>
        <v>3091</v>
      </c>
      <c r="R110" s="236">
        <f>+P110-Q110</f>
        <v>77</v>
      </c>
      <c r="S110" s="237">
        <f>IF(Q110=0,"NA",(+P110-Q110)/Q110)</f>
        <v>2.491103202846975E-2</v>
      </c>
      <c r="T110" s="238"/>
      <c r="U110" s="235">
        <v>2575.9</v>
      </c>
      <c r="V110" s="235">
        <v>2575.8000000000002</v>
      </c>
      <c r="W110" s="237">
        <f>IF(V110=0,"NA",(+U110-V110)/V110)</f>
        <v>3.8822889975894496E-5</v>
      </c>
      <c r="X110" s="239" t="s">
        <v>518</v>
      </c>
      <c r="Y110" s="57" t="s">
        <v>140</v>
      </c>
      <c r="AD110" s="1">
        <f t="shared" si="42"/>
        <v>3168</v>
      </c>
      <c r="AH110" s="1">
        <f t="shared" si="43"/>
        <v>2575.9</v>
      </c>
    </row>
    <row r="111" spans="1:36">
      <c r="C111" s="228"/>
      <c r="D111" s="240"/>
      <c r="E111" s="241"/>
      <c r="F111" s="242"/>
      <c r="G111" s="242"/>
      <c r="H111" s="242"/>
      <c r="I111" s="242"/>
      <c r="J111" s="242"/>
      <c r="K111" s="242"/>
      <c r="L111" s="242"/>
      <c r="M111" s="242"/>
      <c r="N111" s="242"/>
      <c r="O111" s="282"/>
      <c r="P111" s="259"/>
      <c r="Q111" s="226"/>
      <c r="R111" s="226"/>
      <c r="S111" s="227"/>
      <c r="T111" s="228"/>
      <c r="U111" s="225"/>
      <c r="V111" s="225"/>
      <c r="W111" s="227"/>
      <c r="X111" s="799" t="s">
        <v>503</v>
      </c>
      <c r="Y111" s="57"/>
    </row>
    <row r="112" spans="1:36">
      <c r="A112" s="42">
        <v>109</v>
      </c>
      <c r="C112" s="233" t="s">
        <v>43</v>
      </c>
      <c r="D112" s="243"/>
      <c r="E112" s="244"/>
      <c r="F112" s="245"/>
      <c r="G112" s="245"/>
      <c r="H112" s="245"/>
      <c r="I112" s="245"/>
      <c r="J112" s="245"/>
      <c r="K112" s="245"/>
      <c r="L112" s="245"/>
      <c r="M112" s="245"/>
      <c r="N112" s="245"/>
      <c r="O112" s="283"/>
      <c r="P112" s="230">
        <v>500</v>
      </c>
      <c r="Q112" s="230">
        <v>500</v>
      </c>
      <c r="R112" s="231">
        <f t="shared" si="39"/>
        <v>0</v>
      </c>
      <c r="S112" s="232">
        <f t="shared" si="40"/>
        <v>0</v>
      </c>
      <c r="T112" s="233"/>
      <c r="U112" s="230">
        <v>0</v>
      </c>
      <c r="V112" s="230">
        <v>416.7</v>
      </c>
      <c r="W112" s="232">
        <f t="shared" si="41"/>
        <v>-1</v>
      </c>
      <c r="X112" s="284"/>
      <c r="Y112" s="57" t="s">
        <v>143</v>
      </c>
      <c r="AD112" s="1">
        <f t="shared" si="42"/>
        <v>500</v>
      </c>
      <c r="AH112" s="1">
        <f t="shared" si="43"/>
        <v>0</v>
      </c>
    </row>
    <row r="113" spans="1:37" ht="28.5" customHeight="1">
      <c r="A113" s="42">
        <v>110</v>
      </c>
      <c r="C113" s="233" t="s">
        <v>44</v>
      </c>
      <c r="D113" s="243"/>
      <c r="E113" s="244"/>
      <c r="F113" s="245"/>
      <c r="G113" s="245"/>
      <c r="H113" s="245"/>
      <c r="I113" s="245"/>
      <c r="J113" s="245"/>
      <c r="K113" s="245"/>
      <c r="L113" s="245"/>
      <c r="M113" s="245"/>
      <c r="N113" s="245"/>
      <c r="O113" s="283"/>
      <c r="P113" s="267">
        <f>+'Band and Other Music'!P29</f>
        <v>13385</v>
      </c>
      <c r="Q113" s="226">
        <f>+'Band and Other Music'!E29</f>
        <v>13800</v>
      </c>
      <c r="R113" s="231">
        <f t="shared" si="39"/>
        <v>-415</v>
      </c>
      <c r="S113" s="232">
        <f t="shared" si="40"/>
        <v>-3.0072463768115943E-2</v>
      </c>
      <c r="T113" s="233"/>
      <c r="U113" s="230">
        <v>3515</v>
      </c>
      <c r="V113" s="230">
        <v>10733.31</v>
      </c>
      <c r="W113" s="232">
        <f t="shared" si="41"/>
        <v>-0.67251481602599761</v>
      </c>
      <c r="X113" s="638" t="s">
        <v>568</v>
      </c>
      <c r="Y113" s="57" t="s">
        <v>142</v>
      </c>
      <c r="AD113" s="1">
        <f t="shared" si="42"/>
        <v>13385</v>
      </c>
      <c r="AH113" s="1">
        <f t="shared" si="43"/>
        <v>3515</v>
      </c>
    </row>
    <row r="114" spans="1:37" ht="14.5" customHeight="1">
      <c r="A114" s="42">
        <v>110</v>
      </c>
      <c r="C114" s="941" t="s">
        <v>587</v>
      </c>
      <c r="D114" s="941"/>
      <c r="E114" s="244"/>
      <c r="F114" s="245"/>
      <c r="G114" s="245"/>
      <c r="H114" s="245"/>
      <c r="I114" s="245"/>
      <c r="J114" s="245"/>
      <c r="K114" s="245"/>
      <c r="L114" s="245"/>
      <c r="M114" s="245"/>
      <c r="N114" s="245"/>
      <c r="O114" s="283"/>
      <c r="P114" s="267">
        <f>+'Band and Other Music'!P52</f>
        <v>3000</v>
      </c>
      <c r="Q114" s="226">
        <f>+'Band and Other Music'!E52</f>
        <v>3000</v>
      </c>
      <c r="R114" s="231">
        <f>+P114-Q114</f>
        <v>0</v>
      </c>
      <c r="S114" s="232">
        <f>IF(Q114=0,"NA",(+P114-Q114)/Q114)</f>
        <v>0</v>
      </c>
      <c r="T114" s="233"/>
      <c r="U114" s="230">
        <v>300</v>
      </c>
      <c r="V114" s="230">
        <v>3000</v>
      </c>
      <c r="W114" s="232">
        <f>IF(V114=0,"NA",(+U114-V114)/V114)</f>
        <v>-0.9</v>
      </c>
      <c r="X114" s="234"/>
      <c r="Y114" s="57" t="s">
        <v>142</v>
      </c>
      <c r="AD114" s="1">
        <f t="shared" si="42"/>
        <v>3000</v>
      </c>
      <c r="AH114" s="1">
        <f t="shared" si="43"/>
        <v>300</v>
      </c>
    </row>
    <row r="115" spans="1:37">
      <c r="C115" s="233" t="s">
        <v>504</v>
      </c>
      <c r="D115" s="243"/>
      <c r="E115" s="244"/>
      <c r="F115" s="245"/>
      <c r="G115" s="245"/>
      <c r="H115" s="245"/>
      <c r="I115" s="245"/>
      <c r="J115" s="245"/>
      <c r="K115" s="245"/>
      <c r="L115" s="245"/>
      <c r="M115" s="245"/>
      <c r="N115" s="245"/>
      <c r="O115" s="283"/>
      <c r="P115" s="267">
        <f>+'Band and Other Music'!P41</f>
        <v>5750</v>
      </c>
      <c r="Q115" s="226">
        <f>+'Band and Other Music'!E41</f>
        <v>3375</v>
      </c>
      <c r="R115" s="231">
        <f>+P115-Q115</f>
        <v>2375</v>
      </c>
      <c r="S115" s="232">
        <f>IF(Q115=0,"NA",(+P115-Q115)/Q115)</f>
        <v>0.70370370370370372</v>
      </c>
      <c r="T115" s="233"/>
      <c r="U115" s="230">
        <v>0</v>
      </c>
      <c r="V115" s="230">
        <v>2812.5</v>
      </c>
      <c r="W115" s="232">
        <f>IF(V115=0,"NA",(+U115-V115)/V115)</f>
        <v>-1</v>
      </c>
      <c r="X115" s="809" t="s">
        <v>505</v>
      </c>
      <c r="Y115" s="57"/>
      <c r="AD115" s="1">
        <f t="shared" si="42"/>
        <v>5750</v>
      </c>
      <c r="AH115" s="1">
        <f t="shared" si="43"/>
        <v>0</v>
      </c>
    </row>
    <row r="116" spans="1:37">
      <c r="A116" s="42">
        <v>111</v>
      </c>
      <c r="C116" s="238" t="s">
        <v>45</v>
      </c>
      <c r="D116" s="246"/>
      <c r="E116" s="247"/>
      <c r="F116" s="248"/>
      <c r="G116" s="248"/>
      <c r="H116" s="248"/>
      <c r="I116" s="248"/>
      <c r="J116" s="248"/>
      <c r="K116" s="248"/>
      <c r="L116" s="248"/>
      <c r="M116" s="248"/>
      <c r="N116" s="248"/>
      <c r="O116" s="280"/>
      <c r="P116" s="252">
        <v>3000</v>
      </c>
      <c r="Q116" s="235">
        <v>7634</v>
      </c>
      <c r="R116" s="236">
        <f t="shared" si="39"/>
        <v>-4634</v>
      </c>
      <c r="S116" s="237">
        <f t="shared" si="40"/>
        <v>-0.60702122085407384</v>
      </c>
      <c r="T116" s="238"/>
      <c r="U116" s="235">
        <v>0</v>
      </c>
      <c r="V116" s="235">
        <v>6107.2</v>
      </c>
      <c r="W116" s="237">
        <f t="shared" si="41"/>
        <v>-1</v>
      </c>
      <c r="X116" s="637" t="s">
        <v>506</v>
      </c>
      <c r="Y116" s="57" t="s">
        <v>141</v>
      </c>
      <c r="Z116" s="2"/>
      <c r="AD116" s="1">
        <f t="shared" si="42"/>
        <v>3000</v>
      </c>
      <c r="AH116" s="1">
        <f t="shared" si="43"/>
        <v>0</v>
      </c>
    </row>
    <row r="117" spans="1:37">
      <c r="C117" s="228"/>
      <c r="D117" s="240"/>
      <c r="E117" s="241"/>
      <c r="F117" s="242"/>
      <c r="G117" s="242"/>
      <c r="H117" s="242"/>
      <c r="I117" s="242"/>
      <c r="J117" s="242"/>
      <c r="K117" s="242"/>
      <c r="L117" s="242"/>
      <c r="M117" s="242"/>
      <c r="N117" s="242"/>
      <c r="O117" s="282"/>
      <c r="P117" s="259"/>
      <c r="Q117" s="225"/>
      <c r="R117" s="226"/>
      <c r="S117" s="227"/>
      <c r="T117" s="228"/>
      <c r="U117" s="225"/>
      <c r="V117" s="225"/>
      <c r="W117" s="227"/>
      <c r="X117" s="229" t="s">
        <v>519</v>
      </c>
      <c r="Y117" s="57"/>
      <c r="Z117" s="2"/>
    </row>
    <row r="118" spans="1:37">
      <c r="A118" s="42">
        <v>112</v>
      </c>
      <c r="C118" s="233" t="s">
        <v>46</v>
      </c>
      <c r="D118" s="243"/>
      <c r="E118" s="946" t="s">
        <v>155</v>
      </c>
      <c r="F118" s="947"/>
      <c r="G118" s="947"/>
      <c r="H118" s="947"/>
      <c r="I118" s="947"/>
      <c r="J118" s="947"/>
      <c r="K118" s="947"/>
      <c r="L118" s="947"/>
      <c r="M118" s="947"/>
      <c r="N118" s="947"/>
      <c r="O118" s="947"/>
      <c r="P118" s="251">
        <v>0</v>
      </c>
      <c r="Q118" s="230">
        <v>1500</v>
      </c>
      <c r="R118" s="231">
        <f t="shared" si="39"/>
        <v>-1500</v>
      </c>
      <c r="S118" s="232">
        <f t="shared" si="40"/>
        <v>-1</v>
      </c>
      <c r="T118" s="233"/>
      <c r="U118" s="230">
        <v>0</v>
      </c>
      <c r="V118" s="230">
        <v>1166.69</v>
      </c>
      <c r="W118" s="232">
        <f t="shared" si="41"/>
        <v>-1</v>
      </c>
      <c r="X118" s="234" t="s">
        <v>520</v>
      </c>
      <c r="Y118" s="57" t="s">
        <v>143</v>
      </c>
      <c r="AE118" s="1">
        <f t="shared" si="42"/>
        <v>0</v>
      </c>
      <c r="AI118" s="1">
        <f t="shared" si="43"/>
        <v>0</v>
      </c>
    </row>
    <row r="119" spans="1:37">
      <c r="A119" s="42">
        <v>113</v>
      </c>
      <c r="C119" s="238" t="s">
        <v>106</v>
      </c>
      <c r="D119" s="246"/>
      <c r="E119" s="944" t="str">
        <f>Bud_Yr&amp;" Budget"</f>
        <v>2022 Budget</v>
      </c>
      <c r="F119" s="945"/>
      <c r="G119" s="945"/>
      <c r="H119" s="945"/>
      <c r="I119" s="945" t="str">
        <f>Bud_Yr-1&amp;" Budget"</f>
        <v>2021 Budget</v>
      </c>
      <c r="J119" s="945"/>
      <c r="K119" s="945"/>
      <c r="L119" s="945"/>
      <c r="M119" s="285">
        <f>Bud_Yr-2</f>
        <v>2020</v>
      </c>
      <c r="N119" s="285">
        <f>+M119-1</f>
        <v>2019</v>
      </c>
      <c r="O119" s="285">
        <f>+N119-1</f>
        <v>2018</v>
      </c>
      <c r="P119" s="281">
        <f>ROUND(+Q119*(1+$F$79),0)</f>
        <v>2759</v>
      </c>
      <c r="Q119" s="226">
        <v>2759</v>
      </c>
      <c r="R119" s="236">
        <f t="shared" si="39"/>
        <v>0</v>
      </c>
      <c r="S119" s="237">
        <f t="shared" si="40"/>
        <v>0</v>
      </c>
      <c r="T119" s="238"/>
      <c r="U119" s="235">
        <v>975.42</v>
      </c>
      <c r="V119" s="235">
        <v>2299.1999999999998</v>
      </c>
      <c r="W119" s="237">
        <f t="shared" si="41"/>
        <v>-0.57575678496868465</v>
      </c>
      <c r="X119" s="637" t="s">
        <v>514</v>
      </c>
      <c r="Y119" s="57" t="s">
        <v>143</v>
      </c>
      <c r="AD119" s="1">
        <f t="shared" si="42"/>
        <v>2759</v>
      </c>
      <c r="AH119" s="1">
        <f t="shared" si="43"/>
        <v>975.42</v>
      </c>
    </row>
    <row r="120" spans="1:37" s="2" customFormat="1" ht="15" thickBot="1">
      <c r="A120" s="42">
        <v>114</v>
      </c>
      <c r="B120" s="23" t="s">
        <v>47</v>
      </c>
      <c r="C120" s="23"/>
      <c r="D120" s="23"/>
      <c r="E120" s="92" t="s">
        <v>153</v>
      </c>
      <c r="F120" s="93" t="s">
        <v>154</v>
      </c>
      <c r="G120" s="93" t="s">
        <v>157</v>
      </c>
      <c r="H120" s="93" t="s">
        <v>152</v>
      </c>
      <c r="I120" s="93" t="s">
        <v>153</v>
      </c>
      <c r="J120" s="93" t="s">
        <v>154</v>
      </c>
      <c r="K120" s="93" t="s">
        <v>157</v>
      </c>
      <c r="L120" s="93" t="s">
        <v>152</v>
      </c>
      <c r="M120" s="94" t="s">
        <v>154</v>
      </c>
      <c r="N120" s="94" t="s">
        <v>154</v>
      </c>
      <c r="O120" s="94" t="s">
        <v>154</v>
      </c>
      <c r="P120" s="23">
        <f>SUM(P108:P119)</f>
        <v>48357</v>
      </c>
      <c r="Q120" s="23">
        <f>SUM(Q108:Q119)</f>
        <v>52044</v>
      </c>
      <c r="R120" s="23">
        <f>SUM(R108:R119)</f>
        <v>-3687</v>
      </c>
      <c r="S120" s="24">
        <f t="shared" si="40"/>
        <v>-7.0843901314272539E-2</v>
      </c>
      <c r="U120" s="23">
        <f>SUM(U108:U119)</f>
        <v>21020.519999999997</v>
      </c>
      <c r="V120" s="23">
        <f>SUM(V108:V119)</f>
        <v>42765.599999999999</v>
      </c>
      <c r="W120" s="24">
        <f t="shared" si="41"/>
        <v>-0.50847129468544816</v>
      </c>
      <c r="X120" s="71"/>
      <c r="Y120" s="60"/>
      <c r="Z120" s="1"/>
      <c r="AC120" s="2" t="s">
        <v>387</v>
      </c>
      <c r="AD120" s="383">
        <v>0.33300000000000002</v>
      </c>
      <c r="AE120" s="383">
        <v>0.33300000000000002</v>
      </c>
      <c r="AF120" s="383">
        <v>0.33400000000000002</v>
      </c>
      <c r="AG120" s="1"/>
      <c r="AH120" s="34">
        <f t="shared" ref="AH120:AJ121" si="44">+AD120</f>
        <v>0.33300000000000002</v>
      </c>
      <c r="AI120" s="34">
        <f t="shared" si="44"/>
        <v>0.33300000000000002</v>
      </c>
      <c r="AJ120" s="34">
        <f t="shared" si="44"/>
        <v>0.33400000000000002</v>
      </c>
      <c r="AK120" s="1"/>
    </row>
    <row r="121" spans="1:37" ht="19.5" customHeight="1">
      <c r="A121" s="42">
        <v>116</v>
      </c>
      <c r="B121" s="882" t="s">
        <v>48</v>
      </c>
      <c r="O121" s="25"/>
      <c r="P121" s="25"/>
      <c r="Q121" s="25"/>
      <c r="R121" s="25"/>
      <c r="S121" s="4"/>
      <c r="X121" s="70"/>
      <c r="Y121" s="58"/>
      <c r="AC121" s="1" t="s">
        <v>217</v>
      </c>
      <c r="AD121" s="383">
        <v>0.3</v>
      </c>
      <c r="AE121" s="383">
        <v>0.3</v>
      </c>
      <c r="AF121" s="383">
        <v>0.3</v>
      </c>
      <c r="AG121" s="383">
        <v>0.1</v>
      </c>
      <c r="AH121" s="34">
        <f t="shared" si="44"/>
        <v>0.3</v>
      </c>
      <c r="AI121" s="34">
        <f t="shared" si="44"/>
        <v>0.3</v>
      </c>
      <c r="AJ121" s="34">
        <f t="shared" si="44"/>
        <v>0.3</v>
      </c>
    </row>
    <row r="122" spans="1:37">
      <c r="C122" s="393" t="s">
        <v>321</v>
      </c>
      <c r="D122" s="394"/>
      <c r="E122" s="800">
        <v>40</v>
      </c>
      <c r="F122" s="801">
        <v>19.440000000000001</v>
      </c>
      <c r="G122" s="800">
        <v>52</v>
      </c>
      <c r="H122" s="802">
        <f>+$F$78</f>
        <v>0</v>
      </c>
      <c r="I122" s="800">
        <v>40</v>
      </c>
      <c r="J122" s="801">
        <v>17.690000000000001</v>
      </c>
      <c r="K122" s="800">
        <v>52</v>
      </c>
      <c r="L122" s="399">
        <f>IF(M122=0,0,(+K122-M122)/M122)</f>
        <v>1.9988465974625143</v>
      </c>
      <c r="M122" s="803">
        <v>17.34</v>
      </c>
      <c r="N122" s="803">
        <v>17</v>
      </c>
      <c r="O122" s="804"/>
      <c r="P122" s="805">
        <f>ROUND(E122*F122*G122,0)</f>
        <v>40435</v>
      </c>
      <c r="Q122" s="805">
        <f>ROUND(I122*J122*K122,0)</f>
        <v>36795</v>
      </c>
      <c r="R122" s="398">
        <f>+P122-Q122</f>
        <v>3640</v>
      </c>
      <c r="S122" s="399">
        <f>IF(Q122=0,"NA",(+P122-Q122)/Q122)</f>
        <v>9.8926484576708787E-2</v>
      </c>
      <c r="T122" s="393"/>
      <c r="U122" s="397">
        <v>30029.03</v>
      </c>
      <c r="V122" s="397">
        <v>30662.5</v>
      </c>
      <c r="W122" s="399">
        <f>IF(V122=0,"NA",(+U122-V122)/V122)</f>
        <v>-2.0659437423563021E-2</v>
      </c>
      <c r="X122" s="540" t="s">
        <v>526</v>
      </c>
      <c r="Y122" s="806"/>
      <c r="Z122" s="393"/>
      <c r="AA122" s="393"/>
      <c r="AB122" s="393"/>
      <c r="AC122" s="393"/>
      <c r="AD122" s="393">
        <f>+$P122*AD$121</f>
        <v>12130.5</v>
      </c>
      <c r="AE122" s="393">
        <f t="shared" ref="AE122:AG122" si="45">+$P122*AE$121</f>
        <v>12130.5</v>
      </c>
      <c r="AF122" s="393">
        <f t="shared" si="45"/>
        <v>12130.5</v>
      </c>
      <c r="AG122" s="393">
        <f t="shared" si="45"/>
        <v>4043.5</v>
      </c>
      <c r="AH122" s="393">
        <f t="shared" ref="AH122:AJ124" si="46">+$U122*AH$120</f>
        <v>9999.6669899999997</v>
      </c>
      <c r="AI122" s="393">
        <f t="shared" si="46"/>
        <v>9999.6669899999997</v>
      </c>
      <c r="AJ122" s="393">
        <f t="shared" si="46"/>
        <v>10029.696019999999</v>
      </c>
    </row>
    <row r="123" spans="1:37">
      <c r="C123" s="228"/>
      <c r="D123" s="240"/>
      <c r="E123" s="561"/>
      <c r="F123" s="563"/>
      <c r="G123" s="561"/>
      <c r="H123" s="562"/>
      <c r="I123" s="561"/>
      <c r="J123" s="563"/>
      <c r="K123" s="561"/>
      <c r="L123" s="227"/>
      <c r="M123" s="564"/>
      <c r="N123" s="564"/>
      <c r="O123" s="282"/>
      <c r="P123" s="259"/>
      <c r="Q123" s="259"/>
      <c r="R123" s="226"/>
      <c r="S123" s="227"/>
      <c r="T123" s="228"/>
      <c r="U123" s="225"/>
      <c r="V123" s="225"/>
      <c r="W123" s="227"/>
      <c r="X123" s="229" t="s">
        <v>502</v>
      </c>
      <c r="Y123" s="68"/>
    </row>
    <row r="124" spans="1:37">
      <c r="A124" s="42">
        <v>122</v>
      </c>
      <c r="C124" s="233" t="s">
        <v>322</v>
      </c>
      <c r="D124" s="243"/>
      <c r="E124" s="286"/>
      <c r="F124" s="290"/>
      <c r="G124" s="286"/>
      <c r="H124" s="291"/>
      <c r="I124" s="286"/>
      <c r="J124" s="287"/>
      <c r="K124" s="286"/>
      <c r="L124" s="232"/>
      <c r="M124" s="289"/>
      <c r="N124" s="289"/>
      <c r="O124" s="231"/>
      <c r="P124" s="251">
        <v>1000</v>
      </c>
      <c r="Q124" s="251">
        <v>1000</v>
      </c>
      <c r="R124" s="231">
        <f>+P124-Q124</f>
        <v>0</v>
      </c>
      <c r="S124" s="232">
        <f>IF(Q124=0,"NA",(+P124-Q124)/Q124)</f>
        <v>0</v>
      </c>
      <c r="T124" s="233"/>
      <c r="U124" s="230">
        <v>0</v>
      </c>
      <c r="V124" s="230">
        <v>833.3</v>
      </c>
      <c r="W124" s="232">
        <f>IF(V124=0,"NA",(+U124-V124)/V124)</f>
        <v>-1</v>
      </c>
      <c r="X124" s="234" t="s">
        <v>289</v>
      </c>
      <c r="Y124" s="61" t="s">
        <v>116</v>
      </c>
      <c r="AD124" s="1">
        <f>+$P124*AD$120</f>
        <v>333</v>
      </c>
      <c r="AE124" s="1">
        <f>+$P124*AE$120</f>
        <v>333</v>
      </c>
      <c r="AF124" s="1">
        <f>+$P124*AF$120</f>
        <v>334</v>
      </c>
      <c r="AH124" s="1">
        <f t="shared" si="46"/>
        <v>0</v>
      </c>
      <c r="AI124" s="1">
        <f t="shared" si="46"/>
        <v>0</v>
      </c>
      <c r="AJ124" s="1">
        <f t="shared" si="46"/>
        <v>0</v>
      </c>
    </row>
    <row r="125" spans="1:37" ht="15.5" customHeight="1">
      <c r="A125" s="42">
        <v>118</v>
      </c>
      <c r="C125" s="233" t="s">
        <v>50</v>
      </c>
      <c r="D125" s="243"/>
      <c r="E125" s="292">
        <v>25</v>
      </c>
      <c r="F125" s="290">
        <f>ROUND(+J125*(1+H125),2)</f>
        <v>13.78</v>
      </c>
      <c r="G125" s="286">
        <v>0</v>
      </c>
      <c r="H125" s="288">
        <f>+$F$78</f>
        <v>0</v>
      </c>
      <c r="I125" s="286">
        <v>25</v>
      </c>
      <c r="J125" s="287">
        <v>13.78</v>
      </c>
      <c r="K125" s="286">
        <v>52</v>
      </c>
      <c r="L125" s="232">
        <f>IF(M125=0,0,(+J125-M125)/M125)</f>
        <v>1.026392961876824E-2</v>
      </c>
      <c r="M125" s="287">
        <v>13.64</v>
      </c>
      <c r="N125" s="287">
        <v>13.64</v>
      </c>
      <c r="O125" s="287">
        <v>13.11</v>
      </c>
      <c r="P125" s="267">
        <f>ROUND((E125*F125*G125)+(E126*F126*G126)+(E127*F127*G127)+(E128*F128*G128),0)</f>
        <v>34434</v>
      </c>
      <c r="Q125" s="267">
        <f>ROUND((I125*J125*K125)+(I126*J126*K126)+(I127*J127*K127)+(I128*J128*K128),0)</f>
        <v>34323</v>
      </c>
      <c r="R125" s="231">
        <f t="shared" ref="R125:R135" si="47">+P125-Q125</f>
        <v>111</v>
      </c>
      <c r="S125" s="232">
        <f t="shared" ref="S125:S137" si="48">IF(Q125=0,"NA",(+P125-Q125)/Q125)</f>
        <v>3.2339830434402585E-3</v>
      </c>
      <c r="T125" s="233"/>
      <c r="U125" s="251">
        <v>17755.599999999999</v>
      </c>
      <c r="V125" s="230">
        <v>28602.5</v>
      </c>
      <c r="W125" s="232">
        <f t="shared" ref="W125:W137" si="49">IF(V125=0,"NA",(+U125-V125)/V125)</f>
        <v>-0.37922908836640157</v>
      </c>
      <c r="X125" s="886" t="s">
        <v>524</v>
      </c>
      <c r="Y125" s="57" t="s">
        <v>118</v>
      </c>
      <c r="AG125" s="1">
        <f>+$P125</f>
        <v>34434</v>
      </c>
      <c r="AK125" s="1">
        <f>+$U125</f>
        <v>17755.599999999999</v>
      </c>
    </row>
    <row r="126" spans="1:37" ht="29">
      <c r="C126" s="233"/>
      <c r="D126" s="243"/>
      <c r="E126" s="292">
        <v>20</v>
      </c>
      <c r="F126" s="807">
        <f>ROUND(+J126*(1+0.025),2)</f>
        <v>11.86</v>
      </c>
      <c r="G126" s="286">
        <v>52</v>
      </c>
      <c r="H126" s="894">
        <f>+IF(J126=0,"NA",ROUND((F126-J126)/J126,3))</f>
        <v>2.5000000000000001E-2</v>
      </c>
      <c r="I126" s="286">
        <v>20</v>
      </c>
      <c r="J126" s="287">
        <v>11.57</v>
      </c>
      <c r="K126" s="286">
        <v>52</v>
      </c>
      <c r="L126" s="232">
        <f>IF(M126=0,0,(+J126-M126)/M126)</f>
        <v>0</v>
      </c>
      <c r="M126" s="287">
        <v>11.57</v>
      </c>
      <c r="N126" s="287">
        <v>13.64</v>
      </c>
      <c r="O126" s="287">
        <v>11.12</v>
      </c>
      <c r="P126" s="267"/>
      <c r="Q126" s="267"/>
      <c r="R126" s="231"/>
      <c r="S126" s="232"/>
      <c r="T126" s="233"/>
      <c r="U126" s="251"/>
      <c r="V126" s="230"/>
      <c r="W126" s="232"/>
      <c r="X126" s="234" t="str">
        <f>"Rebecca Arreola:  "&amp;Bud_Yr&amp;":  avg "&amp;E126&amp;" hrs/week at $"&amp;F126&amp;"/hr ("&amp;ROUND(H126*100,1)&amp;"% incr.) for "&amp;G126&amp;" weeks.                                    "&amp;Bud_Yr-1&amp;":  avg "&amp;I126&amp;" hrs/week at $"&amp;J126&amp;"/hr ("&amp;ROUND(L126*100,1)&amp;"% incr.) for "&amp;K126&amp;" weeks.   "&amp;Bud_Yr-2&amp;":  $"&amp;M126&amp;"/hour."</f>
        <v>Rebecca Arreola:  2022:  avg 20 hrs/week at $11.86/hr (2.5% incr.) for 52 weeks.                                    2021:  avg 20 hrs/week at $11.57/hr (0% incr.) for 52 weeks.   2020:  $11.57/hour.</v>
      </c>
      <c r="Y126" s="57"/>
      <c r="AA126" s="74"/>
    </row>
    <row r="127" spans="1:37" ht="42.5" customHeight="1">
      <c r="C127" s="233"/>
      <c r="D127" s="243"/>
      <c r="E127" s="292">
        <v>20</v>
      </c>
      <c r="F127" s="807">
        <v>13</v>
      </c>
      <c r="G127" s="286">
        <v>52</v>
      </c>
      <c r="H127" s="894">
        <f>+IF(J127=0,"NA",ROUND((F127-J127)/J127,3))</f>
        <v>0.159</v>
      </c>
      <c r="I127" s="292">
        <v>7.5</v>
      </c>
      <c r="J127" s="287">
        <v>11.22</v>
      </c>
      <c r="K127" s="286">
        <v>52</v>
      </c>
      <c r="L127" s="232">
        <f>IF(M127=0,0,(+J127-M127)/M127)</f>
        <v>0</v>
      </c>
      <c r="M127" s="287">
        <v>11.22</v>
      </c>
      <c r="N127" s="287">
        <v>11.22</v>
      </c>
      <c r="O127" s="287">
        <v>11.25</v>
      </c>
      <c r="P127" s="267"/>
      <c r="Q127" s="267"/>
      <c r="R127" s="231"/>
      <c r="S127" s="232"/>
      <c r="T127" s="233"/>
      <c r="U127" s="251"/>
      <c r="V127" s="230"/>
      <c r="W127" s="232"/>
      <c r="X127" s="234" t="str">
        <f>"Glenn Napier took on Lead responsibilities and received a raise in 2021.  No increrase for 2022: "&amp;Bud_Yr&amp;":  avg "&amp;E127&amp;" hrs/week at $"&amp;F127&amp;"/hr ("&amp;ROUND(H127*100,1)&amp;"% incr.) for "&amp;G127&amp;" weeks. "&amp;Bud_Yr-1&amp;":  avg "&amp;I127&amp;" hrs/week at $"&amp;J127&amp;"/hr ("&amp;ROUND(L127*100,1)&amp;"% incr.) for "&amp;K127&amp;" weeks.   "&amp;Bud_Yr-2&amp;":  $"&amp;M127&amp;"/hour."</f>
        <v>Glenn Napier took on Lead responsibilities and received a raise in 2021.  No increrase for 2022: 2022:  avg 20 hrs/week at $13/hr (15.9% incr.) for 52 weeks. 2021:  avg 7.5 hrs/week at $11.22/hr (0% incr.) for 52 weeks.   2020:  $11.22/hour.</v>
      </c>
      <c r="Y127" s="57"/>
      <c r="AA127" s="74"/>
    </row>
    <row r="128" spans="1:37" ht="42.5" customHeight="1">
      <c r="C128" s="233"/>
      <c r="D128" s="243"/>
      <c r="E128" s="292">
        <v>15</v>
      </c>
      <c r="F128" s="807">
        <v>11</v>
      </c>
      <c r="G128" s="286">
        <v>52</v>
      </c>
      <c r="H128" s="894" t="str">
        <f>+IF(J128=0,"NA",ROUND((F128-J128)/J128,3))</f>
        <v>NA</v>
      </c>
      <c r="I128" s="292">
        <v>0</v>
      </c>
      <c r="J128" s="287">
        <v>0</v>
      </c>
      <c r="K128" s="286">
        <v>0</v>
      </c>
      <c r="L128" s="232">
        <f>IF(M128=0,0,(+J128-M128)/M128)</f>
        <v>0</v>
      </c>
      <c r="M128" s="287">
        <v>0</v>
      </c>
      <c r="N128" s="287">
        <v>0</v>
      </c>
      <c r="O128" s="287">
        <v>0</v>
      </c>
      <c r="P128" s="267"/>
      <c r="Q128" s="267"/>
      <c r="R128" s="231"/>
      <c r="S128" s="232"/>
      <c r="T128" s="233"/>
      <c r="U128" s="251"/>
      <c r="V128" s="230"/>
      <c r="W128" s="232"/>
      <c r="X128" s="234" t="str">
        <f>"Additional help to support and back up Glenn "&amp;Bud_Yr&amp;":  avg "&amp;E128&amp;" hrs/week at $"&amp;F128&amp;"/hr for "&amp;G128&amp;" weeks. "</f>
        <v xml:space="preserve">Additional help to support and back up Glenn 2022:  avg 15 hrs/week at $11/hr for 52 weeks. </v>
      </c>
      <c r="Y128" s="57"/>
      <c r="AA128" s="74"/>
    </row>
    <row r="129" spans="1:37">
      <c r="A129" s="42">
        <v>119</v>
      </c>
      <c r="C129" s="233" t="s">
        <v>51</v>
      </c>
      <c r="D129" s="243"/>
      <c r="E129" s="244"/>
      <c r="F129" s="245"/>
      <c r="G129" s="245"/>
      <c r="H129" s="245"/>
      <c r="I129" s="245"/>
      <c r="J129" s="245"/>
      <c r="K129" s="245"/>
      <c r="L129" s="245"/>
      <c r="M129" s="245"/>
      <c r="N129" s="245"/>
      <c r="O129" s="233"/>
      <c r="P129" s="251">
        <v>400</v>
      </c>
      <c r="Q129" s="230">
        <v>400</v>
      </c>
      <c r="R129" s="231">
        <f t="shared" si="47"/>
        <v>0</v>
      </c>
      <c r="S129" s="232">
        <f t="shared" si="48"/>
        <v>0</v>
      </c>
      <c r="T129" s="233"/>
      <c r="U129" s="251">
        <v>64.599999999999994</v>
      </c>
      <c r="V129" s="230">
        <v>333.3</v>
      </c>
      <c r="W129" s="232">
        <f t="shared" si="49"/>
        <v>-0.8061806180618063</v>
      </c>
      <c r="X129" s="234"/>
      <c r="Y129" s="61"/>
      <c r="AD129" s="1">
        <f t="shared" ref="AD129:AF130" si="50">+$P129*AD$120</f>
        <v>133.20000000000002</v>
      </c>
      <c r="AE129" s="1">
        <f t="shared" si="50"/>
        <v>133.20000000000002</v>
      </c>
      <c r="AF129" s="1">
        <f t="shared" si="50"/>
        <v>133.6</v>
      </c>
      <c r="AH129" s="1">
        <f t="shared" ref="AH129:AJ130" si="51">+$U129*AH$120</f>
        <v>21.511800000000001</v>
      </c>
      <c r="AI129" s="1">
        <f t="shared" si="51"/>
        <v>21.511800000000001</v>
      </c>
      <c r="AJ129" s="1">
        <f t="shared" si="51"/>
        <v>21.5764</v>
      </c>
    </row>
    <row r="130" spans="1:37">
      <c r="A130" s="42">
        <v>120</v>
      </c>
      <c r="C130" s="233" t="s">
        <v>95</v>
      </c>
      <c r="D130" s="243"/>
      <c r="E130" s="244"/>
      <c r="F130" s="245"/>
      <c r="G130" s="245"/>
      <c r="H130" s="245"/>
      <c r="I130" s="245"/>
      <c r="J130" s="245"/>
      <c r="K130" s="245"/>
      <c r="L130" s="245"/>
      <c r="M130" s="245"/>
      <c r="N130" s="245"/>
      <c r="O130" s="233"/>
      <c r="P130" s="251">
        <f>700</f>
        <v>700</v>
      </c>
      <c r="Q130" s="230">
        <v>700</v>
      </c>
      <c r="R130" s="231">
        <f t="shared" si="47"/>
        <v>0</v>
      </c>
      <c r="S130" s="232">
        <f t="shared" si="48"/>
        <v>0</v>
      </c>
      <c r="T130" s="233"/>
      <c r="U130" s="230">
        <v>0</v>
      </c>
      <c r="V130" s="230">
        <v>583.29999999999995</v>
      </c>
      <c r="W130" s="232">
        <f t="shared" si="49"/>
        <v>-1</v>
      </c>
      <c r="X130" s="234" t="s">
        <v>507</v>
      </c>
      <c r="Y130" s="61"/>
      <c r="Z130" s="2"/>
      <c r="AD130" s="1">
        <f t="shared" si="50"/>
        <v>233.10000000000002</v>
      </c>
      <c r="AE130" s="1">
        <f t="shared" si="50"/>
        <v>233.10000000000002</v>
      </c>
      <c r="AF130" s="1">
        <f t="shared" si="50"/>
        <v>233.8</v>
      </c>
      <c r="AH130" s="1">
        <f t="shared" si="51"/>
        <v>0</v>
      </c>
      <c r="AI130" s="1">
        <f t="shared" si="51"/>
        <v>0</v>
      </c>
      <c r="AJ130" s="1">
        <f t="shared" si="51"/>
        <v>0</v>
      </c>
    </row>
    <row r="131" spans="1:37" ht="14" customHeight="1">
      <c r="C131" s="233" t="s">
        <v>111</v>
      </c>
      <c r="D131" s="243"/>
      <c r="E131" s="244"/>
      <c r="F131" s="245"/>
      <c r="G131" s="245"/>
      <c r="H131" s="293"/>
      <c r="I131" s="293"/>
      <c r="J131" s="293"/>
      <c r="K131" s="293"/>
      <c r="L131" s="293"/>
      <c r="M131" s="293"/>
      <c r="N131" s="293"/>
      <c r="O131" s="294"/>
      <c r="P131" s="267">
        <f>+'Band and Other Music'!E59</f>
        <v>925</v>
      </c>
      <c r="Q131" s="230">
        <v>925</v>
      </c>
      <c r="R131" s="231">
        <f t="shared" si="47"/>
        <v>0</v>
      </c>
      <c r="S131" s="232">
        <f>IF(Q131=0,"NA",(+P131-Q131)/Q131)</f>
        <v>0</v>
      </c>
      <c r="T131" s="233"/>
      <c r="U131" s="251">
        <v>0</v>
      </c>
      <c r="V131" s="230">
        <v>719.44</v>
      </c>
      <c r="W131" s="232">
        <f>IF(V131=0,"NA",(+U131-V131)/V131)</f>
        <v>-1</v>
      </c>
      <c r="X131" s="234" t="s">
        <v>314</v>
      </c>
      <c r="Y131" s="57" t="s">
        <v>128</v>
      </c>
      <c r="AD131" s="1">
        <f t="shared" ref="AD131" si="52">+$P131</f>
        <v>925</v>
      </c>
      <c r="AH131" s="1">
        <f t="shared" ref="AH131" si="53">+$U131</f>
        <v>0</v>
      </c>
    </row>
    <row r="132" spans="1:37" ht="16.5" customHeight="1">
      <c r="C132" s="949" t="s">
        <v>334</v>
      </c>
      <c r="D132" s="949"/>
      <c r="E132" s="286">
        <v>15</v>
      </c>
      <c r="F132" s="773">
        <f>ROUND(+J132*(1+0),2)</f>
        <v>14.57</v>
      </c>
      <c r="G132" s="286">
        <v>0</v>
      </c>
      <c r="H132" s="288">
        <f>+$F$78</f>
        <v>0</v>
      </c>
      <c r="I132" s="286">
        <v>15</v>
      </c>
      <c r="J132" s="287">
        <v>14.57</v>
      </c>
      <c r="K132" s="286">
        <v>52</v>
      </c>
      <c r="L132" s="232">
        <f>IF(M132=0,0,(+J132-M132)/M132)</f>
        <v>0</v>
      </c>
      <c r="M132" s="287">
        <v>14.57</v>
      </c>
      <c r="N132" s="287">
        <v>14.28</v>
      </c>
      <c r="O132" s="287">
        <v>14</v>
      </c>
      <c r="P132" s="810">
        <v>0</v>
      </c>
      <c r="Q132" s="267">
        <f>ROUND(+I132*J132*K132,0)</f>
        <v>11365</v>
      </c>
      <c r="R132" s="231">
        <f>+P132-Q132</f>
        <v>-11365</v>
      </c>
      <c r="S132" s="232">
        <f>IF(Q132=0,"NA",(+P132-Q132)/Q132)</f>
        <v>-1</v>
      </c>
      <c r="T132" s="233"/>
      <c r="U132" s="251">
        <v>4817.57</v>
      </c>
      <c r="V132" s="230">
        <v>9470.7999999999993</v>
      </c>
      <c r="W132" s="232">
        <f>IF(V132=0,"NA",(+U132-V132)/V132)</f>
        <v>-0.4913238585969506</v>
      </c>
      <c r="X132" s="277" t="s">
        <v>525</v>
      </c>
      <c r="Y132" s="58"/>
      <c r="Z132" s="38"/>
      <c r="AD132" s="1">
        <f t="shared" ref="AD132:AF134" si="54">+$P132*AD$120</f>
        <v>0</v>
      </c>
      <c r="AE132" s="1">
        <f t="shared" si="54"/>
        <v>0</v>
      </c>
      <c r="AF132" s="1">
        <f t="shared" si="54"/>
        <v>0</v>
      </c>
      <c r="AH132" s="1">
        <f t="shared" ref="AH132:AJ134" si="55">+$U132*AH$120</f>
        <v>1604.25081</v>
      </c>
      <c r="AI132" s="1">
        <f t="shared" si="55"/>
        <v>1604.25081</v>
      </c>
      <c r="AJ132" s="1">
        <f t="shared" si="55"/>
        <v>1609.0683799999999</v>
      </c>
    </row>
    <row r="133" spans="1:37" ht="14.5" customHeight="1">
      <c r="A133" s="42">
        <v>123</v>
      </c>
      <c r="C133" s="233" t="s">
        <v>52</v>
      </c>
      <c r="D133" s="243"/>
      <c r="E133" s="296"/>
      <c r="F133" s="434"/>
      <c r="G133" s="296"/>
      <c r="H133" s="296"/>
      <c r="I133" s="296"/>
      <c r="J133" s="297"/>
      <c r="K133" s="298"/>
      <c r="L133" s="298"/>
      <c r="M133" s="299">
        <v>7.6499999999999999E-2</v>
      </c>
      <c r="N133" s="299"/>
      <c r="O133" s="233"/>
      <c r="P133" s="251">
        <f>ROUND((+P105+P120+P122+P124+P125+P131+P132+P135)*$M133,0)</f>
        <v>9750</v>
      </c>
      <c r="Q133" s="251">
        <f>ROUND((+Q105+Q120+Q122+Q124+Q125+Q131+Q132+Q135)*$M133,0)-2</f>
        <v>10613</v>
      </c>
      <c r="R133" s="231">
        <f t="shared" si="47"/>
        <v>-863</v>
      </c>
      <c r="S133" s="232">
        <f t="shared" si="48"/>
        <v>-8.1315367944973141E-2</v>
      </c>
      <c r="T133" s="233"/>
      <c r="U133" s="251">
        <v>4840.6099999999997</v>
      </c>
      <c r="V133" s="251">
        <v>8844.2000000000007</v>
      </c>
      <c r="W133" s="232">
        <f t="shared" si="49"/>
        <v>-0.45267972230388287</v>
      </c>
      <c r="X133" s="284" t="s">
        <v>299</v>
      </c>
      <c r="Y133" s="61" t="s">
        <v>129</v>
      </c>
      <c r="Z133" s="45"/>
      <c r="AD133" s="1">
        <f t="shared" si="54"/>
        <v>3246.75</v>
      </c>
      <c r="AE133" s="1">
        <f t="shared" si="54"/>
        <v>3246.75</v>
      </c>
      <c r="AF133" s="1">
        <f t="shared" si="54"/>
        <v>3256.5</v>
      </c>
      <c r="AH133" s="1">
        <f t="shared" si="55"/>
        <v>1611.9231299999999</v>
      </c>
      <c r="AI133" s="1">
        <f t="shared" si="55"/>
        <v>1611.9231299999999</v>
      </c>
      <c r="AJ133" s="1">
        <f t="shared" si="55"/>
        <v>1616.7637399999999</v>
      </c>
    </row>
    <row r="134" spans="1:37" ht="14.4" customHeight="1">
      <c r="A134" s="42">
        <v>124</v>
      </c>
      <c r="C134" s="233" t="s">
        <v>53</v>
      </c>
      <c r="D134" s="243"/>
      <c r="E134" s="244"/>
      <c r="F134" s="435"/>
      <c r="G134" s="435"/>
      <c r="H134" s="435"/>
      <c r="I134" s="245"/>
      <c r="J134" s="245"/>
      <c r="K134" s="245"/>
      <c r="L134" s="245"/>
      <c r="M134" s="245"/>
      <c r="N134" s="245"/>
      <c r="O134" s="233"/>
      <c r="P134" s="251">
        <v>3200</v>
      </c>
      <c r="Q134" s="251">
        <v>3650</v>
      </c>
      <c r="R134" s="231">
        <f t="shared" si="47"/>
        <v>-450</v>
      </c>
      <c r="S134" s="232">
        <f t="shared" si="48"/>
        <v>-0.12328767123287671</v>
      </c>
      <c r="T134" s="233"/>
      <c r="U134" s="251">
        <v>1725.5</v>
      </c>
      <c r="V134" s="251">
        <v>2737.5</v>
      </c>
      <c r="W134" s="232">
        <f t="shared" si="49"/>
        <v>-0.36968036529680365</v>
      </c>
      <c r="X134" s="799" t="s">
        <v>569</v>
      </c>
      <c r="Y134" s="61" t="s">
        <v>130</v>
      </c>
      <c r="Z134" s="45"/>
      <c r="AD134" s="1">
        <f t="shared" si="54"/>
        <v>1065.6000000000001</v>
      </c>
      <c r="AE134" s="1">
        <f t="shared" si="54"/>
        <v>1065.6000000000001</v>
      </c>
      <c r="AF134" s="1">
        <f t="shared" si="54"/>
        <v>1068.8</v>
      </c>
      <c r="AH134" s="1">
        <f t="shared" si="55"/>
        <v>574.5915</v>
      </c>
      <c r="AI134" s="1">
        <f t="shared" si="55"/>
        <v>574.5915</v>
      </c>
      <c r="AJ134" s="1">
        <f t="shared" si="55"/>
        <v>576.31700000000001</v>
      </c>
    </row>
    <row r="135" spans="1:37">
      <c r="A135" s="42">
        <v>125</v>
      </c>
      <c r="C135" s="233" t="s">
        <v>54</v>
      </c>
      <c r="D135" s="243"/>
      <c r="P135" s="53">
        <v>1500</v>
      </c>
      <c r="Q135" s="51">
        <v>1500</v>
      </c>
      <c r="R135" s="37">
        <f t="shared" si="47"/>
        <v>0</v>
      </c>
      <c r="S135" s="3">
        <f t="shared" si="48"/>
        <v>0</v>
      </c>
      <c r="U135" s="53">
        <v>0</v>
      </c>
      <c r="V135" s="53">
        <v>1250</v>
      </c>
      <c r="W135" s="3">
        <f t="shared" si="49"/>
        <v>-1</v>
      </c>
      <c r="X135" s="229" t="s">
        <v>315</v>
      </c>
      <c r="Y135" s="57"/>
      <c r="AD135" s="1">
        <f t="shared" ref="AD135" si="56">+$P135</f>
        <v>1500</v>
      </c>
      <c r="AH135" s="1">
        <f t="shared" ref="AH135" si="57">+$U135</f>
        <v>0</v>
      </c>
    </row>
    <row r="136" spans="1:37" s="2" customFormat="1">
      <c r="A136" s="42">
        <v>127</v>
      </c>
      <c r="B136" s="23" t="s">
        <v>49</v>
      </c>
      <c r="C136" s="23"/>
      <c r="D136" s="23"/>
      <c r="E136" s="85"/>
      <c r="F136" s="85"/>
      <c r="G136" s="85"/>
      <c r="H136" s="85"/>
      <c r="I136" s="85"/>
      <c r="J136" s="85"/>
      <c r="K136" s="85"/>
      <c r="L136" s="85"/>
      <c r="M136" s="85"/>
      <c r="N136" s="85"/>
      <c r="O136" s="23"/>
      <c r="P136" s="23">
        <f>SUM(P122:P135)</f>
        <v>92344</v>
      </c>
      <c r="Q136" s="23">
        <f>SUM(Q122:Q135)</f>
        <v>101271</v>
      </c>
      <c r="R136" s="23">
        <f>SUM(R122:R135)</f>
        <v>-8927</v>
      </c>
      <c r="S136" s="24">
        <f t="shared" si="48"/>
        <v>-8.8149618350761821E-2</v>
      </c>
      <c r="U136" s="23">
        <f>SUM(U122:U135)</f>
        <v>59232.909999999996</v>
      </c>
      <c r="V136" s="23">
        <f>SUM(V122:V135)</f>
        <v>84036.840000000011</v>
      </c>
      <c r="W136" s="24">
        <f t="shared" si="49"/>
        <v>-0.29515543421194812</v>
      </c>
      <c r="X136" s="71"/>
      <c r="Y136" s="60"/>
      <c r="Z136" s="25"/>
    </row>
    <row r="137" spans="1:37">
      <c r="A137" s="42">
        <v>128</v>
      </c>
      <c r="B137" s="23" t="s">
        <v>55</v>
      </c>
      <c r="C137" s="23"/>
      <c r="D137" s="23"/>
      <c r="E137" s="85"/>
      <c r="F137" s="24"/>
      <c r="G137" s="24"/>
      <c r="H137" s="24"/>
      <c r="I137" s="24"/>
      <c r="J137" s="24"/>
      <c r="K137" s="24"/>
      <c r="L137" s="24"/>
      <c r="M137" s="24"/>
      <c r="N137" s="24"/>
      <c r="O137" s="33"/>
      <c r="P137" s="23">
        <f>+P91+P103+P106+P120+P136</f>
        <v>339530</v>
      </c>
      <c r="Q137" s="23">
        <f>+Q91+Q103+Q106+Q120+Q136</f>
        <v>342612</v>
      </c>
      <c r="R137" s="23">
        <f>+R91+R103+R106+R120+R136</f>
        <v>-3082</v>
      </c>
      <c r="S137" s="24">
        <f t="shared" si="48"/>
        <v>-8.9955985196081868E-3</v>
      </c>
      <c r="U137" s="23">
        <f>+U91+U103+U106+U120+U136</f>
        <v>233616.83</v>
      </c>
      <c r="V137" s="23">
        <f>+V91+V103+V106+V120+V136</f>
        <v>284425.47000000003</v>
      </c>
      <c r="W137" s="24">
        <f t="shared" si="49"/>
        <v>-0.17863604127998817</v>
      </c>
      <c r="X137" s="70"/>
      <c r="Y137" s="58"/>
      <c r="Z137" s="25"/>
    </row>
    <row r="138" spans="1:37" ht="23" customHeight="1">
      <c r="A138" s="42">
        <v>130</v>
      </c>
      <c r="B138" s="6" t="s">
        <v>56</v>
      </c>
      <c r="S138" s="4"/>
      <c r="X138" s="70"/>
      <c r="Y138" s="58"/>
    </row>
    <row r="139" spans="1:37" ht="19.5" customHeight="1">
      <c r="A139" s="42">
        <v>131</v>
      </c>
      <c r="B139" s="882" t="s">
        <v>57</v>
      </c>
      <c r="S139" s="4"/>
      <c r="X139" s="70"/>
      <c r="Y139" s="58"/>
    </row>
    <row r="140" spans="1:37" ht="14.5" customHeight="1">
      <c r="A140" s="42">
        <v>132</v>
      </c>
      <c r="C140" s="393" t="s">
        <v>59</v>
      </c>
      <c r="D140" s="394"/>
      <c r="E140" s="395"/>
      <c r="F140" s="396"/>
      <c r="G140" s="396"/>
      <c r="H140" s="396"/>
      <c r="I140" s="396"/>
      <c r="J140" s="396"/>
      <c r="K140" s="396"/>
      <c r="L140" s="396"/>
      <c r="M140" s="396"/>
      <c r="N140" s="396"/>
      <c r="O140" s="393"/>
      <c r="P140" s="401">
        <v>11000</v>
      </c>
      <c r="Q140" s="401">
        <v>12000</v>
      </c>
      <c r="R140" s="398">
        <f t="shared" ref="R140:R145" si="58">+P140-Q140</f>
        <v>-1000</v>
      </c>
      <c r="S140" s="399">
        <f t="shared" ref="S140:S146" si="59">IF(Q140=0,"NA",(+P140-Q140)/Q140)</f>
        <v>-8.3333333333333329E-2</v>
      </c>
      <c r="T140" s="393"/>
      <c r="U140" s="397">
        <v>8279.19</v>
      </c>
      <c r="V140" s="397">
        <v>10000</v>
      </c>
      <c r="W140" s="399">
        <f t="shared" ref="W140:W146" si="60">IF(V140=0,"NA",(+U140-V140)/V140)</f>
        <v>-0.17208099999999996</v>
      </c>
      <c r="X140" s="799" t="s">
        <v>508</v>
      </c>
      <c r="Y140" s="57" t="s">
        <v>131</v>
      </c>
      <c r="AG140" s="1">
        <f t="shared" ref="AG140:AG145" si="61">+$P140</f>
        <v>11000</v>
      </c>
      <c r="AK140" s="1">
        <f t="shared" ref="AK140:AK145" si="62">+$U140</f>
        <v>8279.19</v>
      </c>
    </row>
    <row r="141" spans="1:37" ht="14.5" customHeight="1">
      <c r="A141" s="42">
        <v>133</v>
      </c>
      <c r="C141" s="233" t="s">
        <v>60</v>
      </c>
      <c r="D141" s="243"/>
      <c r="E141" s="241"/>
      <c r="F141" s="242"/>
      <c r="G141" s="242"/>
      <c r="H141" s="242"/>
      <c r="I141" s="242"/>
      <c r="J141" s="242"/>
      <c r="K141" s="242"/>
      <c r="L141" s="242"/>
      <c r="M141" s="242"/>
      <c r="N141" s="242"/>
      <c r="O141" s="228"/>
      <c r="P141" s="251">
        <v>8400</v>
      </c>
      <c r="Q141" s="251">
        <v>10000</v>
      </c>
      <c r="R141" s="231">
        <f t="shared" si="58"/>
        <v>-1600</v>
      </c>
      <c r="S141" s="232">
        <f t="shared" si="59"/>
        <v>-0.16</v>
      </c>
      <c r="T141" s="233"/>
      <c r="U141" s="230">
        <v>7000</v>
      </c>
      <c r="V141" s="230">
        <v>8333.2999999999993</v>
      </c>
      <c r="W141" s="232">
        <f t="shared" si="60"/>
        <v>-0.15999663998655989</v>
      </c>
      <c r="X141" s="540" t="s">
        <v>513</v>
      </c>
      <c r="Y141" s="65" t="s">
        <v>134</v>
      </c>
      <c r="AG141" s="1">
        <f t="shared" si="61"/>
        <v>8400</v>
      </c>
      <c r="AK141" s="1">
        <f t="shared" si="62"/>
        <v>7000</v>
      </c>
    </row>
    <row r="142" spans="1:37">
      <c r="A142" s="42">
        <v>134</v>
      </c>
      <c r="C142" s="393" t="s">
        <v>291</v>
      </c>
      <c r="D142" s="394"/>
      <c r="E142" s="395"/>
      <c r="F142" s="396"/>
      <c r="G142" s="396"/>
      <c r="H142" s="396"/>
      <c r="I142" s="396"/>
      <c r="J142" s="396"/>
      <c r="K142" s="396"/>
      <c r="L142" s="396"/>
      <c r="M142" s="396"/>
      <c r="N142" s="396"/>
      <c r="O142" s="407"/>
      <c r="P142" s="397">
        <v>4800</v>
      </c>
      <c r="Q142" s="397">
        <v>4400</v>
      </c>
      <c r="R142" s="398">
        <f t="shared" si="58"/>
        <v>400</v>
      </c>
      <c r="S142" s="399">
        <f t="shared" si="59"/>
        <v>9.0909090909090912E-2</v>
      </c>
      <c r="T142" s="393"/>
      <c r="U142" s="397">
        <v>3965.14</v>
      </c>
      <c r="V142" s="397">
        <v>3666.7</v>
      </c>
      <c r="W142" s="399">
        <f t="shared" si="60"/>
        <v>8.13919873455696E-2</v>
      </c>
      <c r="X142" s="638" t="s">
        <v>508</v>
      </c>
      <c r="Y142" s="64"/>
      <c r="Z142" s="2"/>
      <c r="AG142" s="1">
        <f t="shared" si="61"/>
        <v>4800</v>
      </c>
      <c r="AK142" s="1">
        <f t="shared" si="62"/>
        <v>3965.14</v>
      </c>
    </row>
    <row r="143" spans="1:37" ht="14.5" customHeight="1">
      <c r="A143" s="42">
        <v>135</v>
      </c>
      <c r="C143" s="238" t="s">
        <v>62</v>
      </c>
      <c r="D143" s="246"/>
      <c r="P143" s="235">
        <v>1800</v>
      </c>
      <c r="Q143" s="235">
        <v>1000</v>
      </c>
      <c r="R143" s="236">
        <f t="shared" si="58"/>
        <v>800</v>
      </c>
      <c r="S143" s="237">
        <f t="shared" si="59"/>
        <v>0.8</v>
      </c>
      <c r="T143" s="238"/>
      <c r="U143" s="235">
        <v>1201.98</v>
      </c>
      <c r="V143" s="235">
        <v>1000</v>
      </c>
      <c r="W143" s="237">
        <f t="shared" si="60"/>
        <v>0.20198000000000002</v>
      </c>
      <c r="X143" s="638" t="s">
        <v>521</v>
      </c>
      <c r="Y143" s="57"/>
      <c r="AG143" s="1">
        <f t="shared" si="61"/>
        <v>1800</v>
      </c>
      <c r="AK143" s="1">
        <f t="shared" si="62"/>
        <v>1201.98</v>
      </c>
    </row>
    <row r="144" spans="1:37" ht="14.5" customHeight="1">
      <c r="A144" s="42">
        <v>136</v>
      </c>
      <c r="C144" s="238" t="s">
        <v>63</v>
      </c>
      <c r="D144" s="246"/>
      <c r="P144" s="235">
        <v>350</v>
      </c>
      <c r="Q144" s="252">
        <v>350</v>
      </c>
      <c r="R144" s="236">
        <f t="shared" si="58"/>
        <v>0</v>
      </c>
      <c r="S144" s="237">
        <f t="shared" si="59"/>
        <v>0</v>
      </c>
      <c r="T144" s="238"/>
      <c r="U144" s="235">
        <v>263.39999999999998</v>
      </c>
      <c r="V144" s="235">
        <v>291.7</v>
      </c>
      <c r="W144" s="237">
        <f t="shared" si="60"/>
        <v>-9.7017483716146768E-2</v>
      </c>
      <c r="X144" s="540" t="s">
        <v>588</v>
      </c>
      <c r="Y144" s="65" t="s">
        <v>135</v>
      </c>
      <c r="AG144" s="1">
        <f t="shared" si="61"/>
        <v>350</v>
      </c>
      <c r="AK144" s="1">
        <f t="shared" si="62"/>
        <v>263.39999999999998</v>
      </c>
    </row>
    <row r="145" spans="1:37">
      <c r="A145" s="42">
        <v>138</v>
      </c>
      <c r="B145" s="640"/>
      <c r="C145" s="238" t="s">
        <v>100</v>
      </c>
      <c r="D145" s="246"/>
      <c r="E145" s="395"/>
      <c r="F145" s="396"/>
      <c r="G145" s="396"/>
      <c r="H145" s="396"/>
      <c r="I145" s="396"/>
      <c r="J145" s="396"/>
      <c r="K145" s="396"/>
      <c r="L145" s="396"/>
      <c r="M145" s="396"/>
      <c r="N145" s="396"/>
      <c r="O145" s="393"/>
      <c r="P145" s="235">
        <v>6052</v>
      </c>
      <c r="Q145" s="235">
        <v>5200</v>
      </c>
      <c r="R145" s="236">
        <f t="shared" si="58"/>
        <v>852</v>
      </c>
      <c r="S145" s="237">
        <f t="shared" si="59"/>
        <v>0.16384615384615384</v>
      </c>
      <c r="T145" s="238"/>
      <c r="U145" s="235">
        <v>5922.54</v>
      </c>
      <c r="V145" s="235">
        <v>5200</v>
      </c>
      <c r="W145" s="237">
        <f t="shared" si="60"/>
        <v>0.13894999999999999</v>
      </c>
      <c r="X145" s="637" t="s">
        <v>522</v>
      </c>
      <c r="Y145" s="57"/>
      <c r="AG145" s="1">
        <f t="shared" si="61"/>
        <v>6052</v>
      </c>
      <c r="AK145" s="1">
        <f t="shared" si="62"/>
        <v>5922.54</v>
      </c>
    </row>
    <row r="146" spans="1:37" s="2" customFormat="1">
      <c r="A146" s="42">
        <v>139</v>
      </c>
      <c r="B146" s="26" t="s">
        <v>65</v>
      </c>
      <c r="C146" s="26"/>
      <c r="D146" s="26"/>
      <c r="E146" s="86"/>
      <c r="F146" s="86"/>
      <c r="G146" s="86"/>
      <c r="H146" s="86"/>
      <c r="I146" s="86"/>
      <c r="J146" s="86"/>
      <c r="K146" s="86"/>
      <c r="L146" s="86"/>
      <c r="M146" s="86"/>
      <c r="N146" s="86"/>
      <c r="O146" s="26"/>
      <c r="P146" s="26">
        <f>SUM(P140:P145)</f>
        <v>32402</v>
      </c>
      <c r="Q146" s="26">
        <f>SUM(Q140:Q145)</f>
        <v>32950</v>
      </c>
      <c r="R146" s="26">
        <f>SUM(R140:R145)</f>
        <v>-548</v>
      </c>
      <c r="S146" s="27">
        <f t="shared" si="59"/>
        <v>-1.6631259484066768E-2</v>
      </c>
      <c r="U146" s="26">
        <f>SUM(U140:U145)</f>
        <v>26632.250000000004</v>
      </c>
      <c r="V146" s="26">
        <f>SUM(V140:V145)</f>
        <v>28491.7</v>
      </c>
      <c r="W146" s="27">
        <f t="shared" si="60"/>
        <v>-6.5262866027650052E-2</v>
      </c>
      <c r="X146" s="71"/>
      <c r="Y146" s="60"/>
      <c r="AK146" s="1"/>
    </row>
    <row r="147" spans="1:37" ht="19.5" customHeight="1">
      <c r="A147" s="42">
        <v>141</v>
      </c>
      <c r="B147" s="882" t="s">
        <v>66</v>
      </c>
      <c r="S147" s="4"/>
      <c r="X147" s="70"/>
      <c r="Y147" s="58"/>
    </row>
    <row r="148" spans="1:37" ht="14" customHeight="1">
      <c r="A148" s="42">
        <v>142</v>
      </c>
      <c r="C148" s="393" t="s">
        <v>67</v>
      </c>
      <c r="D148" s="394"/>
      <c r="E148" s="395"/>
      <c r="F148" s="396"/>
      <c r="G148" s="396"/>
      <c r="H148" s="396"/>
      <c r="I148" s="396"/>
      <c r="J148" s="396"/>
      <c r="K148" s="396"/>
      <c r="L148" s="396"/>
      <c r="M148" s="396"/>
      <c r="N148" s="396"/>
      <c r="O148" s="393"/>
      <c r="P148" s="401">
        <v>13400</v>
      </c>
      <c r="Q148" s="401">
        <v>12758</v>
      </c>
      <c r="R148" s="398">
        <f t="shared" ref="R148:R154" si="63">+P148-Q148</f>
        <v>642</v>
      </c>
      <c r="S148" s="399">
        <f t="shared" ref="S148:S156" si="64">IF(Q148=0,"NA",(+P148-Q148)/Q148)</f>
        <v>5.0321366985420911E-2</v>
      </c>
      <c r="T148" s="393"/>
      <c r="U148" s="397">
        <v>9639.25</v>
      </c>
      <c r="V148" s="397">
        <v>9568.5</v>
      </c>
      <c r="W148" s="399">
        <f t="shared" ref="W148:W156" si="65">IF(V148=0,"NA",(+U148-V148)/V148)</f>
        <v>7.3940534043998533E-3</v>
      </c>
      <c r="X148" s="540" t="s">
        <v>508</v>
      </c>
      <c r="Y148" s="57" t="s">
        <v>136</v>
      </c>
      <c r="AG148" s="1">
        <f t="shared" ref="AG148:AG153" si="66">+$P148</f>
        <v>13400</v>
      </c>
      <c r="AK148" s="1">
        <f t="shared" ref="AK148:AK153" si="67">+$U148</f>
        <v>9639.25</v>
      </c>
    </row>
    <row r="149" spans="1:37">
      <c r="C149" s="228"/>
      <c r="D149" s="240"/>
      <c r="E149" s="241"/>
      <c r="F149" s="242"/>
      <c r="G149" s="242"/>
      <c r="H149" s="242"/>
      <c r="I149" s="242"/>
      <c r="J149" s="242"/>
      <c r="K149" s="242"/>
      <c r="L149" s="242"/>
      <c r="M149" s="242"/>
      <c r="N149" s="242"/>
      <c r="O149" s="228"/>
      <c r="P149" s="253"/>
      <c r="Q149" s="253"/>
      <c r="R149" s="226"/>
      <c r="S149" s="227"/>
      <c r="T149" s="228"/>
      <c r="U149" s="225"/>
      <c r="V149" s="225"/>
      <c r="W149" s="227"/>
      <c r="X149" s="229" t="s">
        <v>381</v>
      </c>
      <c r="Y149" s="57"/>
    </row>
    <row r="150" spans="1:37">
      <c r="A150" s="42">
        <v>143</v>
      </c>
      <c r="C150" s="238" t="s">
        <v>68</v>
      </c>
      <c r="D150" s="246"/>
      <c r="E150" s="247"/>
      <c r="F150" s="248"/>
      <c r="G150" s="248"/>
      <c r="H150" s="248"/>
      <c r="I150" s="248"/>
      <c r="J150" s="248"/>
      <c r="K150" s="248"/>
      <c r="L150" s="248"/>
      <c r="M150" s="248"/>
      <c r="N150" s="248"/>
      <c r="O150" s="238"/>
      <c r="P150" s="235">
        <v>6000</v>
      </c>
      <c r="Q150" s="235">
        <v>5000</v>
      </c>
      <c r="R150" s="236">
        <f t="shared" si="63"/>
        <v>1000</v>
      </c>
      <c r="S150" s="237">
        <f t="shared" si="64"/>
        <v>0.2</v>
      </c>
      <c r="T150" s="238"/>
      <c r="U150" s="235">
        <v>4683.2</v>
      </c>
      <c r="V150" s="235">
        <v>3333.32</v>
      </c>
      <c r="W150" s="237">
        <f t="shared" si="65"/>
        <v>0.40496561986247931</v>
      </c>
      <c r="X150" s="638" t="s">
        <v>523</v>
      </c>
      <c r="Y150" s="57"/>
      <c r="AG150" s="1">
        <f t="shared" si="66"/>
        <v>6000</v>
      </c>
      <c r="AK150" s="1">
        <f t="shared" si="67"/>
        <v>4683.2</v>
      </c>
    </row>
    <row r="151" spans="1:37">
      <c r="A151" s="42">
        <v>159</v>
      </c>
      <c r="C151" s="238" t="s">
        <v>93</v>
      </c>
      <c r="D151" s="246"/>
      <c r="E151" s="247"/>
      <c r="F151" s="248"/>
      <c r="G151" s="248"/>
      <c r="H151" s="248"/>
      <c r="I151" s="248"/>
      <c r="J151" s="248"/>
      <c r="K151" s="248"/>
      <c r="L151" s="248"/>
      <c r="M151" s="248"/>
      <c r="N151" s="248"/>
      <c r="O151" s="238"/>
      <c r="P151" s="235">
        <v>4500</v>
      </c>
      <c r="Q151" s="235">
        <v>4500</v>
      </c>
      <c r="R151" s="236">
        <f t="shared" si="63"/>
        <v>0</v>
      </c>
      <c r="S151" s="237">
        <f t="shared" si="64"/>
        <v>0</v>
      </c>
      <c r="T151" s="238"/>
      <c r="U151" s="235">
        <v>2623.8</v>
      </c>
      <c r="V151" s="235">
        <v>3750</v>
      </c>
      <c r="W151" s="237">
        <f t="shared" si="65"/>
        <v>-0.30031999999999998</v>
      </c>
      <c r="X151" s="638"/>
      <c r="Y151" s="57"/>
      <c r="AG151" s="1">
        <f t="shared" si="66"/>
        <v>4500</v>
      </c>
      <c r="AK151" s="1">
        <f t="shared" si="67"/>
        <v>2623.8</v>
      </c>
    </row>
    <row r="152" spans="1:37">
      <c r="A152" s="42">
        <v>145</v>
      </c>
      <c r="C152" s="943" t="s">
        <v>96</v>
      </c>
      <c r="D152" s="943"/>
      <c r="E152" s="403"/>
      <c r="F152" s="403"/>
      <c r="G152" s="403"/>
      <c r="H152" s="403"/>
      <c r="I152" s="403"/>
      <c r="J152" s="403"/>
      <c r="K152" s="403"/>
      <c r="L152" s="403"/>
      <c r="M152" s="403"/>
      <c r="N152" s="403"/>
      <c r="O152" s="402"/>
      <c r="P152" s="252">
        <v>6000</v>
      </c>
      <c r="Q152" s="235">
        <v>6000</v>
      </c>
      <c r="R152" s="236">
        <f t="shared" si="63"/>
        <v>0</v>
      </c>
      <c r="S152" s="237">
        <f t="shared" si="64"/>
        <v>0</v>
      </c>
      <c r="T152" s="238"/>
      <c r="U152" s="235">
        <v>4780.12</v>
      </c>
      <c r="V152" s="235">
        <v>5000</v>
      </c>
      <c r="W152" s="237">
        <f t="shared" si="65"/>
        <v>-4.3976000000000022E-2</v>
      </c>
      <c r="X152" s="799"/>
      <c r="Y152" s="57"/>
      <c r="AG152" s="1">
        <f t="shared" si="66"/>
        <v>6000</v>
      </c>
      <c r="AK152" s="1">
        <f t="shared" si="67"/>
        <v>4780.12</v>
      </c>
    </row>
    <row r="153" spans="1:37">
      <c r="A153" s="42">
        <v>146</v>
      </c>
      <c r="C153" s="238" t="s">
        <v>69</v>
      </c>
      <c r="D153" s="246"/>
      <c r="E153" s="247"/>
      <c r="F153" s="248"/>
      <c r="G153" s="248"/>
      <c r="H153" s="248"/>
      <c r="I153" s="248"/>
      <c r="J153" s="248"/>
      <c r="K153" s="248"/>
      <c r="L153" s="248"/>
      <c r="M153" s="248"/>
      <c r="N153" s="248"/>
      <c r="O153" s="238"/>
      <c r="P153" s="235">
        <v>10000</v>
      </c>
      <c r="Q153" s="235">
        <v>10000</v>
      </c>
      <c r="R153" s="236">
        <f t="shared" si="63"/>
        <v>0</v>
      </c>
      <c r="S153" s="237">
        <f t="shared" si="64"/>
        <v>0</v>
      </c>
      <c r="T153" s="238"/>
      <c r="U153" s="252">
        <v>1222.2</v>
      </c>
      <c r="V153" s="235">
        <v>8333.2999999999993</v>
      </c>
      <c r="W153" s="237">
        <f t="shared" si="65"/>
        <v>-0.85333541334165341</v>
      </c>
      <c r="X153" s="540"/>
      <c r="Y153" s="57"/>
      <c r="AG153" s="1">
        <f t="shared" si="66"/>
        <v>10000</v>
      </c>
      <c r="AK153" s="1">
        <f t="shared" si="67"/>
        <v>1222.2</v>
      </c>
    </row>
    <row r="154" spans="1:37" hidden="1">
      <c r="A154" s="42">
        <v>149</v>
      </c>
      <c r="C154" s="1" t="s">
        <v>70</v>
      </c>
      <c r="P154" s="51">
        <v>0</v>
      </c>
      <c r="Q154" s="51">
        <v>0</v>
      </c>
      <c r="R154" s="37">
        <f t="shared" si="63"/>
        <v>0</v>
      </c>
      <c r="S154" s="3" t="str">
        <f t="shared" si="64"/>
        <v>NA</v>
      </c>
      <c r="U154" s="51">
        <v>0</v>
      </c>
      <c r="V154" s="51">
        <v>0</v>
      </c>
      <c r="W154" s="3" t="str">
        <f t="shared" si="65"/>
        <v>NA</v>
      </c>
      <c r="X154" s="71"/>
      <c r="Y154" s="61"/>
    </row>
    <row r="155" spans="1:37" s="2" customFormat="1">
      <c r="A155" s="42">
        <v>150</v>
      </c>
      <c r="B155" s="26" t="s">
        <v>71</v>
      </c>
      <c r="C155" s="26"/>
      <c r="D155" s="26"/>
      <c r="E155" s="86"/>
      <c r="F155" s="86"/>
      <c r="G155" s="86"/>
      <c r="H155" s="86"/>
      <c r="I155" s="86"/>
      <c r="J155" s="86"/>
      <c r="K155" s="86"/>
      <c r="L155" s="86"/>
      <c r="M155" s="86"/>
      <c r="N155" s="86"/>
      <c r="O155" s="26"/>
      <c r="P155" s="26">
        <f>SUM(P148:P154)</f>
        <v>39900</v>
      </c>
      <c r="Q155" s="26">
        <f>SUM(Q148:Q154)</f>
        <v>38258</v>
      </c>
      <c r="R155" s="26">
        <f>SUM(R148:R154)</f>
        <v>1642</v>
      </c>
      <c r="S155" s="27">
        <f t="shared" si="64"/>
        <v>4.2919128025511004E-2</v>
      </c>
      <c r="U155" s="26">
        <f>SUM(U148:U154)</f>
        <v>22948.57</v>
      </c>
      <c r="V155" s="26">
        <f>SUM(V148:V154)</f>
        <v>29985.119999999999</v>
      </c>
      <c r="W155" s="27">
        <f t="shared" si="65"/>
        <v>-0.23466806202543125</v>
      </c>
      <c r="X155" s="71"/>
      <c r="Y155" s="60"/>
      <c r="Z155" s="1"/>
    </row>
    <row r="156" spans="1:37">
      <c r="A156" s="42">
        <v>151</v>
      </c>
      <c r="B156" s="26" t="s">
        <v>72</v>
      </c>
      <c r="C156" s="26"/>
      <c r="D156" s="26"/>
      <c r="E156" s="86"/>
      <c r="F156" s="86"/>
      <c r="G156" s="86"/>
      <c r="H156" s="86"/>
      <c r="I156" s="86"/>
      <c r="J156" s="86"/>
      <c r="K156" s="86"/>
      <c r="L156" s="86"/>
      <c r="M156" s="86"/>
      <c r="N156" s="86"/>
      <c r="O156" s="26"/>
      <c r="P156" s="26">
        <f>+P146+P155</f>
        <v>72302</v>
      </c>
      <c r="Q156" s="26">
        <f>+Q146+Q155</f>
        <v>71208</v>
      </c>
      <c r="R156" s="26">
        <f>+R146+R155</f>
        <v>1094</v>
      </c>
      <c r="S156" s="27">
        <f t="shared" si="64"/>
        <v>1.5363442309852825E-2</v>
      </c>
      <c r="U156" s="26">
        <f>+U146+U155</f>
        <v>49580.820000000007</v>
      </c>
      <c r="V156" s="26">
        <f>+V146+V155</f>
        <v>58476.82</v>
      </c>
      <c r="W156" s="27">
        <f t="shared" si="65"/>
        <v>-0.15212865542278106</v>
      </c>
      <c r="X156" s="70"/>
      <c r="Y156" s="58"/>
    </row>
    <row r="157" spans="1:37" ht="23" customHeight="1">
      <c r="A157" s="42">
        <v>154</v>
      </c>
      <c r="B157" s="6" t="s">
        <v>74</v>
      </c>
      <c r="S157" s="4"/>
      <c r="X157" s="70"/>
      <c r="Y157" s="58"/>
    </row>
    <row r="158" spans="1:37">
      <c r="C158" s="228" t="s">
        <v>75</v>
      </c>
      <c r="D158" s="240"/>
      <c r="E158" s="241"/>
      <c r="F158" s="242"/>
      <c r="G158" s="242"/>
      <c r="H158" s="242"/>
      <c r="I158" s="242"/>
      <c r="J158" s="242"/>
      <c r="K158" s="242"/>
      <c r="L158" s="242"/>
      <c r="M158" s="242"/>
      <c r="N158" s="242"/>
      <c r="O158" s="228"/>
      <c r="P158" s="253">
        <f>-13621-9636</f>
        <v>-23257</v>
      </c>
      <c r="Q158" s="253">
        <v>-8185</v>
      </c>
      <c r="R158" s="226">
        <f t="shared" ref="R158:R163" si="68">+P158-Q158</f>
        <v>-15072</v>
      </c>
      <c r="S158" s="227">
        <f t="shared" ref="S158:S164" si="69">IF(Q158=0,"NA",(+P158-Q158)/Q158)</f>
        <v>1.8414172266340867</v>
      </c>
      <c r="T158" s="228"/>
      <c r="U158" s="225">
        <v>28100</v>
      </c>
      <c r="V158" s="225">
        <v>0</v>
      </c>
      <c r="W158" s="227" t="str">
        <f t="shared" ref="W158:W163" si="70">IF(V158=0,"NA",(+U158-V158)/V158)</f>
        <v>NA</v>
      </c>
      <c r="X158" s="229" t="s">
        <v>527</v>
      </c>
      <c r="Y158" s="57"/>
    </row>
    <row r="159" spans="1:37" hidden="1">
      <c r="C159" s="233" t="s">
        <v>178</v>
      </c>
      <c r="D159" s="243"/>
      <c r="E159" s="244"/>
      <c r="F159" s="245"/>
      <c r="G159" s="245"/>
      <c r="H159" s="245"/>
      <c r="I159" s="245"/>
      <c r="J159" s="245"/>
      <c r="K159" s="245"/>
      <c r="L159" s="245"/>
      <c r="M159" s="245"/>
      <c r="N159" s="245"/>
      <c r="O159" s="233"/>
      <c r="P159" s="251">
        <v>0</v>
      </c>
      <c r="Q159" s="251">
        <v>0</v>
      </c>
      <c r="R159" s="231">
        <f t="shared" si="68"/>
        <v>0</v>
      </c>
      <c r="S159" s="232" t="str">
        <f t="shared" si="69"/>
        <v>NA</v>
      </c>
      <c r="T159" s="233"/>
      <c r="U159" s="230">
        <v>0</v>
      </c>
      <c r="V159" s="230">
        <v>0</v>
      </c>
      <c r="W159" s="232" t="str">
        <f t="shared" si="70"/>
        <v>NA</v>
      </c>
      <c r="X159" s="234"/>
      <c r="Y159" s="57"/>
    </row>
    <row r="160" spans="1:37" hidden="1">
      <c r="A160" s="42">
        <v>156</v>
      </c>
      <c r="C160" s="233" t="s">
        <v>144</v>
      </c>
      <c r="D160" s="243"/>
      <c r="E160" s="244"/>
      <c r="F160" s="245"/>
      <c r="G160" s="245"/>
      <c r="H160" s="245"/>
      <c r="I160" s="245"/>
      <c r="J160" s="245"/>
      <c r="K160" s="245"/>
      <c r="L160" s="245"/>
      <c r="M160" s="245"/>
      <c r="N160" s="245"/>
      <c r="O160" s="233"/>
      <c r="P160" s="251">
        <v>0</v>
      </c>
      <c r="Q160" s="251">
        <v>0</v>
      </c>
      <c r="R160" s="231">
        <f t="shared" si="68"/>
        <v>0</v>
      </c>
      <c r="S160" s="232" t="str">
        <f t="shared" si="69"/>
        <v>NA</v>
      </c>
      <c r="T160" s="233"/>
      <c r="U160" s="251">
        <v>0</v>
      </c>
      <c r="V160" s="230">
        <v>0</v>
      </c>
      <c r="W160" s="232" t="str">
        <f t="shared" si="70"/>
        <v>NA</v>
      </c>
      <c r="X160" s="234" t="s">
        <v>528</v>
      </c>
      <c r="Y160" s="57"/>
    </row>
    <row r="161" spans="1:37" hidden="1">
      <c r="A161" s="42">
        <v>157</v>
      </c>
      <c r="C161" s="233" t="s">
        <v>149</v>
      </c>
      <c r="D161" s="243"/>
      <c r="E161" s="244"/>
      <c r="F161" s="245"/>
      <c r="G161" s="245"/>
      <c r="H161" s="245"/>
      <c r="I161" s="245"/>
      <c r="J161" s="245"/>
      <c r="K161" s="245"/>
      <c r="L161" s="245"/>
      <c r="M161" s="245"/>
      <c r="N161" s="245"/>
      <c r="O161" s="233"/>
      <c r="P161" s="251">
        <v>0</v>
      </c>
      <c r="Q161" s="251">
        <v>0</v>
      </c>
      <c r="R161" s="231">
        <f t="shared" si="68"/>
        <v>0</v>
      </c>
      <c r="S161" s="232" t="str">
        <f t="shared" si="69"/>
        <v>NA</v>
      </c>
      <c r="T161" s="233"/>
      <c r="U161" s="251">
        <v>0</v>
      </c>
      <c r="V161" s="230">
        <v>0</v>
      </c>
      <c r="W161" s="291" t="s">
        <v>455</v>
      </c>
      <c r="X161" s="234" t="s">
        <v>529</v>
      </c>
      <c r="Y161" s="58"/>
    </row>
    <row r="162" spans="1:37">
      <c r="A162" s="42">
        <v>157</v>
      </c>
      <c r="C162" s="238" t="s">
        <v>173</v>
      </c>
      <c r="D162" s="246"/>
      <c r="E162" s="247"/>
      <c r="F162" s="248"/>
      <c r="G162" s="248"/>
      <c r="H162" s="248"/>
      <c r="I162" s="248"/>
      <c r="J162" s="248"/>
      <c r="K162" s="248"/>
      <c r="L162" s="248"/>
      <c r="M162" s="248"/>
      <c r="N162" s="248"/>
      <c r="O162" s="238"/>
      <c r="P162" s="252">
        <v>0</v>
      </c>
      <c r="Q162" s="252">
        <v>0</v>
      </c>
      <c r="R162" s="236">
        <f t="shared" si="68"/>
        <v>0</v>
      </c>
      <c r="S162" s="237" t="str">
        <f t="shared" si="69"/>
        <v>NA</v>
      </c>
      <c r="T162" s="238"/>
      <c r="U162" s="235">
        <v>28100</v>
      </c>
      <c r="V162" s="235">
        <v>0</v>
      </c>
      <c r="W162" s="237" t="str">
        <f t="shared" si="70"/>
        <v>NA</v>
      </c>
      <c r="X162" s="239" t="s">
        <v>552</v>
      </c>
      <c r="Y162" s="58"/>
      <c r="Z162" s="2"/>
    </row>
    <row r="163" spans="1:37" hidden="1">
      <c r="A163" s="42">
        <v>158</v>
      </c>
      <c r="C163" s="1" t="s">
        <v>76</v>
      </c>
      <c r="P163" s="53">
        <v>0</v>
      </c>
      <c r="Q163" s="53">
        <v>0</v>
      </c>
      <c r="R163" s="37">
        <f t="shared" si="68"/>
        <v>0</v>
      </c>
      <c r="S163" s="3" t="str">
        <f t="shared" si="69"/>
        <v>NA</v>
      </c>
      <c r="U163" s="51">
        <v>0</v>
      </c>
      <c r="V163" s="51">
        <v>0</v>
      </c>
      <c r="W163" s="3" t="str">
        <f t="shared" si="70"/>
        <v>NA</v>
      </c>
      <c r="X163" s="61"/>
      <c r="Y163" s="61" t="s">
        <v>132</v>
      </c>
      <c r="Z163" s="2">
        <v>16</v>
      </c>
    </row>
    <row r="164" spans="1:37" s="2" customFormat="1">
      <c r="A164" s="1"/>
      <c r="B164" s="28" t="s">
        <v>77</v>
      </c>
      <c r="C164" s="28"/>
      <c r="D164" s="28"/>
      <c r="E164" s="87"/>
      <c r="F164" s="87"/>
      <c r="G164" s="87"/>
      <c r="H164" s="87"/>
      <c r="I164" s="87"/>
      <c r="J164" s="87"/>
      <c r="K164" s="87"/>
      <c r="L164" s="87"/>
      <c r="M164" s="87"/>
      <c r="N164" s="87"/>
      <c r="O164" s="28"/>
      <c r="P164" s="28">
        <f>SUM(P158:P163)</f>
        <v>-23257</v>
      </c>
      <c r="Q164" s="28">
        <f>SUM(Q158:Q163)</f>
        <v>-8185</v>
      </c>
      <c r="R164" s="28">
        <f>SUM(R158:R163)</f>
        <v>-15072</v>
      </c>
      <c r="S164" s="29">
        <f t="shared" si="69"/>
        <v>1.8414172266340867</v>
      </c>
      <c r="U164" s="28">
        <f>SUM(U158:U163)</f>
        <v>56200</v>
      </c>
      <c r="V164" s="28">
        <f>SUM(V158:V163)</f>
        <v>0</v>
      </c>
      <c r="W164" s="774" t="s">
        <v>455</v>
      </c>
      <c r="X164" s="71"/>
      <c r="Y164" s="60"/>
      <c r="Z164" s="1"/>
    </row>
    <row r="165" spans="1:37" ht="7.5" customHeight="1">
      <c r="A165" s="42">
        <v>160</v>
      </c>
      <c r="D165" s="1"/>
      <c r="E165" s="38"/>
      <c r="S165" s="4"/>
      <c r="X165" s="70"/>
      <c r="Y165" s="58"/>
    </row>
    <row r="166" spans="1:37">
      <c r="A166" s="42">
        <v>161</v>
      </c>
      <c r="B166" s="30" t="s">
        <v>78</v>
      </c>
      <c r="C166" s="31"/>
      <c r="D166" s="31"/>
      <c r="E166" s="88"/>
      <c r="F166" s="88"/>
      <c r="G166" s="88"/>
      <c r="H166" s="88"/>
      <c r="I166" s="88"/>
      <c r="J166" s="88"/>
      <c r="K166" s="88"/>
      <c r="L166" s="88"/>
      <c r="M166" s="88"/>
      <c r="N166" s="88"/>
      <c r="O166" s="31"/>
      <c r="P166" s="30">
        <f>P31+P77+P137+P156+P164</f>
        <v>458000</v>
      </c>
      <c r="Q166" s="30">
        <f>+Q77+Q137+Q156+Q164+Q31</f>
        <v>498500</v>
      </c>
      <c r="R166" s="30">
        <f>+R77+R137+R156+R164+R31</f>
        <v>-40500</v>
      </c>
      <c r="S166" s="32">
        <f>IF(Q166=0,"NA",(+P166-Q166)/Q166)</f>
        <v>-8.1243731193580748E-2</v>
      </c>
      <c r="U166" s="30">
        <f>+U77+U137+U156+U164+U31</f>
        <v>393057.37</v>
      </c>
      <c r="V166" s="30">
        <f>+V77+V137+V156+V164+V31</f>
        <v>419499.57000000007</v>
      </c>
      <c r="W166" s="32">
        <f>IF(V166=0,"NA",(+U166-V166)/V166)</f>
        <v>-6.3032722536521466E-2</v>
      </c>
      <c r="X166" s="70"/>
      <c r="Y166" s="58"/>
      <c r="AD166" s="384">
        <f t="shared" ref="AD166:AK166" si="71">+SUM(AD5:AD164)-AD67-AD90-AD101-AD120-AD121</f>
        <v>160354.15000000002</v>
      </c>
      <c r="AE166" s="384">
        <f t="shared" si="71"/>
        <v>88483.150000000023</v>
      </c>
      <c r="AF166" s="384">
        <f t="shared" si="71"/>
        <v>116177.40000000002</v>
      </c>
      <c r="AG166" s="384">
        <f t="shared" si="71"/>
        <v>116242.29999999999</v>
      </c>
      <c r="AH166" s="384">
        <f t="shared" si="71"/>
        <v>114090.80422999998</v>
      </c>
      <c r="AI166" s="384">
        <f t="shared" si="71"/>
        <v>57669.994229999997</v>
      </c>
      <c r="AJ166" s="384">
        <f t="shared" si="71"/>
        <v>93593.141540000011</v>
      </c>
      <c r="AK166" s="384">
        <f t="shared" si="71"/>
        <v>71588.539999999994</v>
      </c>
    </row>
    <row r="167" spans="1:37">
      <c r="A167" s="42">
        <v>162</v>
      </c>
      <c r="B167" s="30" t="s">
        <v>79</v>
      </c>
      <c r="C167" s="31"/>
      <c r="D167" s="31"/>
      <c r="E167" s="88"/>
      <c r="F167" s="88"/>
      <c r="G167" s="88"/>
      <c r="H167" s="88"/>
      <c r="I167" s="88"/>
      <c r="J167" s="88"/>
      <c r="K167" s="88"/>
      <c r="L167" s="88"/>
      <c r="M167" s="88"/>
      <c r="N167" s="88"/>
      <c r="O167" s="31"/>
      <c r="P167" s="30">
        <f>ROUND(+P19-P166,0)</f>
        <v>0</v>
      </c>
      <c r="Q167" s="30">
        <f>ROUND(+Q19-Q166,0)</f>
        <v>0</v>
      </c>
      <c r="R167" s="30">
        <f>ROUND(+R19-R166,0)</f>
        <v>0</v>
      </c>
      <c r="S167" s="32" t="str">
        <f>IF(Q167=0,"NA",(+P167-Q167)/Q167)</f>
        <v>NA</v>
      </c>
      <c r="U167" s="30">
        <f>+U19-U166</f>
        <v>57468.580000000016</v>
      </c>
      <c r="V167" s="30">
        <f>+V19-V166</f>
        <v>-6321.5000000000582</v>
      </c>
      <c r="W167" s="781" t="s">
        <v>455</v>
      </c>
      <c r="X167" s="70"/>
      <c r="Y167" s="58"/>
      <c r="AD167" s="1">
        <f>SUM(AD166:AG166)-P166</f>
        <v>23257.000000000058</v>
      </c>
    </row>
    <row r="168" spans="1:37" ht="10" customHeight="1" thickBot="1">
      <c r="S168" s="4"/>
      <c r="X168" s="70"/>
      <c r="Y168" s="58"/>
    </row>
    <row r="169" spans="1:37">
      <c r="B169" s="101" t="s">
        <v>591</v>
      </c>
      <c r="C169" s="102"/>
      <c r="D169" s="102"/>
      <c r="E169" s="103"/>
      <c r="F169" s="103"/>
      <c r="G169" s="103"/>
      <c r="H169" s="103"/>
      <c r="I169" s="103"/>
      <c r="J169" s="103"/>
      <c r="K169" s="103"/>
      <c r="L169" s="103"/>
      <c r="M169" s="103"/>
      <c r="N169" s="103"/>
      <c r="O169" s="102"/>
      <c r="P169" s="104">
        <f>+P19-P17</f>
        <v>458000</v>
      </c>
      <c r="Q169" s="104">
        <f>+Q19-Q17</f>
        <v>498500</v>
      </c>
      <c r="R169" s="105">
        <f>+P169-Q169</f>
        <v>-40500</v>
      </c>
      <c r="S169" s="106">
        <f>IF(Q169=0,"NA",(+P169-Q169)/Q169)</f>
        <v>-8.1243731193580748E-2</v>
      </c>
      <c r="T169" s="102"/>
      <c r="U169" s="104">
        <f>+U19-U17</f>
        <v>450525.95</v>
      </c>
      <c r="V169" s="104">
        <f>+V19-V17</f>
        <v>413178.07</v>
      </c>
      <c r="W169" s="107">
        <f>IF(V169=0,"NA",(+U169-V169)/V169)</f>
        <v>9.039172868008219E-2</v>
      </c>
      <c r="X169" s="61" t="s">
        <v>182</v>
      </c>
      <c r="Y169" s="58"/>
    </row>
    <row r="170" spans="1:37">
      <c r="B170" s="108" t="s">
        <v>151</v>
      </c>
      <c r="C170" s="96"/>
      <c r="D170" s="96"/>
      <c r="E170" s="97"/>
      <c r="F170" s="97"/>
      <c r="G170" s="97"/>
      <c r="H170" s="97"/>
      <c r="I170" s="97"/>
      <c r="J170" s="97"/>
      <c r="K170" s="97"/>
      <c r="L170" s="97"/>
      <c r="M170" s="97"/>
      <c r="N170" s="97"/>
      <c r="O170" s="96"/>
      <c r="P170" s="98">
        <f>+P166-P164</f>
        <v>481257</v>
      </c>
      <c r="Q170" s="98">
        <f>+Q166-Q164</f>
        <v>506685</v>
      </c>
      <c r="R170" s="99">
        <f>+P170-Q170</f>
        <v>-25428</v>
      </c>
      <c r="S170" s="100">
        <f>IF(Q170=0,"NA",(+P170-Q170)/Q170)</f>
        <v>-5.0185026199709881E-2</v>
      </c>
      <c r="T170" s="96"/>
      <c r="U170" s="98">
        <f>+U166-U164</f>
        <v>336857.37</v>
      </c>
      <c r="V170" s="98">
        <f>+V166-V164</f>
        <v>419499.57000000007</v>
      </c>
      <c r="W170" s="109">
        <f>IF(V170=0,"NA",(+U170-V170)/V170)</f>
        <v>-0.19700187058594615</v>
      </c>
      <c r="X170" s="70"/>
      <c r="Y170" s="58"/>
    </row>
    <row r="171" spans="1:37" ht="15" thickBot="1">
      <c r="B171" s="110" t="s">
        <v>160</v>
      </c>
      <c r="C171" s="111"/>
      <c r="D171" s="111"/>
      <c r="E171" s="112"/>
      <c r="F171" s="112"/>
      <c r="G171" s="112"/>
      <c r="H171" s="113"/>
      <c r="I171" s="113"/>
      <c r="J171" s="113"/>
      <c r="K171" s="113"/>
      <c r="L171" s="113"/>
      <c r="M171" s="113"/>
      <c r="N171" s="113"/>
      <c r="O171" s="111"/>
      <c r="P171" s="114">
        <f>+P169-P170</f>
        <v>-23257</v>
      </c>
      <c r="Q171" s="114">
        <f>+Q169-Q170</f>
        <v>-8185</v>
      </c>
      <c r="R171" s="115">
        <f>+P171-Q171</f>
        <v>-15072</v>
      </c>
      <c r="S171" s="116">
        <f>IF(Q171=0,"NA",(+P171-Q171)/Q171)</f>
        <v>1.8414172266340867</v>
      </c>
      <c r="T171" s="111"/>
      <c r="U171" s="114">
        <f>+U169-U170</f>
        <v>113668.58000000002</v>
      </c>
      <c r="V171" s="114">
        <f>+V169-V170</f>
        <v>-6321.5000000000582</v>
      </c>
      <c r="W171" s="775" t="s">
        <v>455</v>
      </c>
      <c r="X171" s="70"/>
      <c r="Y171" s="58"/>
    </row>
    <row r="172" spans="1:37">
      <c r="S172" s="4"/>
      <c r="X172" s="58"/>
      <c r="Y172" s="58"/>
    </row>
    <row r="173" spans="1:37">
      <c r="H173" s="89"/>
      <c r="I173" s="89"/>
      <c r="J173" s="89"/>
      <c r="K173" s="89"/>
      <c r="L173" s="89"/>
      <c r="M173" s="89"/>
      <c r="N173" s="89"/>
      <c r="W173" s="1"/>
      <c r="X173" s="58"/>
      <c r="Y173" s="58"/>
    </row>
    <row r="174" spans="1:37">
      <c r="S174" s="4"/>
      <c r="X174" s="58"/>
      <c r="Y174" s="58"/>
    </row>
    <row r="175" spans="1:37">
      <c r="D175" s="72"/>
      <c r="E175" s="90"/>
      <c r="S175" s="4"/>
      <c r="X175" s="58"/>
      <c r="Y175" s="58"/>
    </row>
    <row r="176" spans="1:37">
      <c r="S176" s="4"/>
      <c r="X176" s="58"/>
      <c r="Y176" s="58"/>
    </row>
    <row r="177" spans="1:26">
      <c r="A177" s="1"/>
      <c r="B177" s="1"/>
      <c r="S177" s="4"/>
      <c r="W177" s="1"/>
      <c r="X177" s="66"/>
      <c r="Y177" s="66"/>
      <c r="Z177" s="2"/>
    </row>
    <row r="178" spans="1:26">
      <c r="A178" s="1"/>
      <c r="B178" s="1"/>
      <c r="S178" s="4"/>
      <c r="W178" s="1"/>
      <c r="X178" s="66"/>
      <c r="Y178" s="66"/>
    </row>
    <row r="179" spans="1:26">
      <c r="A179" s="1"/>
      <c r="B179" s="1"/>
      <c r="S179" s="4"/>
      <c r="W179" s="1"/>
      <c r="X179" s="66"/>
      <c r="Y179" s="66"/>
    </row>
    <row r="180" spans="1:26">
      <c r="B180" s="1"/>
      <c r="S180" s="4"/>
      <c r="W180" s="1"/>
      <c r="X180" s="66"/>
      <c r="Y180" s="66"/>
    </row>
    <row r="181" spans="1:26">
      <c r="A181" s="1"/>
      <c r="B181" s="1"/>
      <c r="S181" s="4"/>
      <c r="W181" s="1"/>
      <c r="X181" s="66"/>
      <c r="Y181" s="66"/>
    </row>
    <row r="182" spans="1:26">
      <c r="A182" s="1"/>
      <c r="B182" s="1"/>
      <c r="S182" s="4"/>
      <c r="W182" s="1"/>
      <c r="X182" s="66"/>
      <c r="Y182" s="66"/>
    </row>
    <row r="183" spans="1:26">
      <c r="A183" s="1"/>
      <c r="B183" s="1"/>
      <c r="S183" s="4"/>
      <c r="W183" s="1"/>
      <c r="X183" s="66"/>
      <c r="Y183" s="37"/>
    </row>
    <row r="184" spans="1:26">
      <c r="A184" s="1"/>
      <c r="B184" s="1"/>
      <c r="S184" s="4"/>
      <c r="W184" s="1"/>
      <c r="X184" s="66"/>
      <c r="Y184" s="37"/>
    </row>
    <row r="185" spans="1:26">
      <c r="A185" s="1"/>
      <c r="B185" s="1"/>
      <c r="S185" s="4"/>
      <c r="W185" s="1"/>
      <c r="X185" s="66"/>
      <c r="Y185" s="37"/>
    </row>
    <row r="186" spans="1:26">
      <c r="A186" s="1"/>
      <c r="B186" s="1"/>
      <c r="S186" s="4"/>
      <c r="W186" s="1"/>
      <c r="X186" s="66"/>
      <c r="Y186" s="37"/>
    </row>
    <row r="187" spans="1:26">
      <c r="A187" s="1"/>
      <c r="B187" s="1"/>
      <c r="S187" s="4"/>
      <c r="W187" s="1"/>
      <c r="X187" s="66"/>
      <c r="Y187" s="37"/>
    </row>
    <row r="188" spans="1:26">
      <c r="A188" s="1"/>
      <c r="B188" s="1"/>
      <c r="S188" s="4"/>
      <c r="W188" s="1"/>
      <c r="X188" s="66"/>
      <c r="Y188" s="37"/>
    </row>
    <row r="189" spans="1:26">
      <c r="A189" s="1"/>
      <c r="B189" s="1"/>
      <c r="S189" s="4"/>
      <c r="W189" s="1"/>
      <c r="X189" s="66"/>
      <c r="Y189" s="37"/>
    </row>
    <row r="190" spans="1:26">
      <c r="A190" s="1"/>
      <c r="B190" s="1"/>
      <c r="S190" s="4"/>
      <c r="W190" s="1"/>
      <c r="X190" s="67"/>
      <c r="Y190" s="37"/>
    </row>
    <row r="191" spans="1:26">
      <c r="Y191" s="37"/>
    </row>
    <row r="192" spans="1:26">
      <c r="Y192" s="46"/>
    </row>
    <row r="193" spans="25:25">
      <c r="Y193" s="46"/>
    </row>
    <row r="194" spans="25:25">
      <c r="Y194" s="46"/>
    </row>
    <row r="195" spans="25:25">
      <c r="Y195" s="46"/>
    </row>
    <row r="196" spans="25:25">
      <c r="Y196" s="46"/>
    </row>
    <row r="197" spans="25:25">
      <c r="Y197" s="46"/>
    </row>
    <row r="198" spans="25:25">
      <c r="Y198" s="46"/>
    </row>
    <row r="199" spans="25:25">
      <c r="Y199" s="46"/>
    </row>
    <row r="200" spans="25:25">
      <c r="Y200" s="46"/>
    </row>
    <row r="201" spans="25:25">
      <c r="Y201" s="46"/>
    </row>
    <row r="202" spans="25:25">
      <c r="Y202" s="46"/>
    </row>
    <row r="203" spans="25:25">
      <c r="Y203" s="46"/>
    </row>
    <row r="204" spans="25:25">
      <c r="Y204" s="46"/>
    </row>
    <row r="205" spans="25:25">
      <c r="Y205" s="46"/>
    </row>
    <row r="206" spans="25:25">
      <c r="Y206" s="46"/>
    </row>
    <row r="207" spans="25:25">
      <c r="Y207" s="46"/>
    </row>
    <row r="208" spans="25:25">
      <c r="Y208" s="46"/>
    </row>
    <row r="209" spans="25:25">
      <c r="Y209" s="46"/>
    </row>
    <row r="210" spans="25:25">
      <c r="Y210" s="46"/>
    </row>
    <row r="211" spans="25:25">
      <c r="Y211" s="46"/>
    </row>
    <row r="212" spans="25:25">
      <c r="Y212" s="46"/>
    </row>
    <row r="213" spans="25:25">
      <c r="Y213" s="46"/>
    </row>
    <row r="214" spans="25:25">
      <c r="Y214" s="46"/>
    </row>
    <row r="215" spans="25:25">
      <c r="Y215" s="46"/>
    </row>
    <row r="216" spans="25:25">
      <c r="Y216" s="46"/>
    </row>
    <row r="217" spans="25:25">
      <c r="Y217" s="46"/>
    </row>
    <row r="218" spans="25:25">
      <c r="Y218" s="46"/>
    </row>
    <row r="219" spans="25:25">
      <c r="Y219" s="46"/>
    </row>
  </sheetData>
  <mergeCells count="27">
    <mergeCell ref="C152:D152"/>
    <mergeCell ref="E119:H119"/>
    <mergeCell ref="I119:L119"/>
    <mergeCell ref="E118:O118"/>
    <mergeCell ref="L84:O84"/>
    <mergeCell ref="C132:D132"/>
    <mergeCell ref="G78:H78"/>
    <mergeCell ref="I76:L76"/>
    <mergeCell ref="C84:D84"/>
    <mergeCell ref="C114:D114"/>
    <mergeCell ref="G92:H92"/>
    <mergeCell ref="X80:X81"/>
    <mergeCell ref="AD3:AG3"/>
    <mergeCell ref="AH3:AK3"/>
    <mergeCell ref="B1:X1"/>
    <mergeCell ref="O78:O79"/>
    <mergeCell ref="P2:S2"/>
    <mergeCell ref="U2:W2"/>
    <mergeCell ref="R3:S3"/>
    <mergeCell ref="U3:U4"/>
    <mergeCell ref="V3:V4"/>
    <mergeCell ref="W3:W4"/>
    <mergeCell ref="P3:P4"/>
    <mergeCell ref="Q3:Q4"/>
    <mergeCell ref="E76:H76"/>
    <mergeCell ref="E73:M73"/>
    <mergeCell ref="G79:H79"/>
  </mergeCells>
  <pageMargins left="0" right="0" top="0.25" bottom="0.5" header="0.3" footer="0.3"/>
  <pageSetup scale="69" fitToHeight="0" orientation="landscape" r:id="rId1"/>
  <headerFooter>
    <oddFooter>&amp;C&amp;P of &amp;N&amp;R&amp;D</oddFooter>
  </headerFooter>
  <rowBreaks count="2" manualBreakCount="2">
    <brk id="77" max="16383" man="1"/>
    <brk id="120"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K45"/>
  <sheetViews>
    <sheetView showGridLines="0" topLeftCell="A16" workbookViewId="0">
      <selection activeCell="F8" sqref="F8"/>
    </sheetView>
  </sheetViews>
  <sheetFormatPr defaultRowHeight="15.5"/>
  <cols>
    <col min="1" max="1" width="4.7265625" style="347" customWidth="1"/>
    <col min="2" max="2" width="33.26953125" style="347" customWidth="1"/>
    <col min="3" max="3" width="8.81640625" style="379" customWidth="1"/>
    <col min="4" max="4" width="15.7265625" style="347" customWidth="1"/>
    <col min="5" max="5" width="10.1796875" style="347" customWidth="1"/>
    <col min="6" max="6" width="13.90625" style="347" customWidth="1"/>
    <col min="7" max="7" width="11.26953125" style="379" customWidth="1"/>
    <col min="8" max="8" width="11.36328125" style="347" customWidth="1"/>
    <col min="9" max="9" width="50.90625" style="347" customWidth="1"/>
    <col min="10" max="10" width="8.7265625" style="347"/>
    <col min="11" max="11" width="9.453125" style="347" bestFit="1" customWidth="1"/>
    <col min="12" max="16384" width="8.7265625" style="347"/>
  </cols>
  <sheetData>
    <row r="1" spans="1:9" ht="20">
      <c r="A1" s="969" t="s">
        <v>83</v>
      </c>
      <c r="B1" s="969"/>
      <c r="C1" s="969"/>
      <c r="D1" s="969"/>
      <c r="E1" s="969"/>
      <c r="F1" s="969"/>
      <c r="G1" s="969"/>
      <c r="H1" s="969"/>
      <c r="I1" s="969"/>
    </row>
    <row r="2" spans="1:9" ht="18.5" customHeight="1">
      <c r="A2" s="970" t="s">
        <v>425</v>
      </c>
      <c r="B2" s="970"/>
      <c r="C2" s="970"/>
      <c r="D2" s="970"/>
      <c r="E2" s="970"/>
      <c r="F2" s="970"/>
      <c r="G2" s="970"/>
      <c r="H2" s="970"/>
      <c r="I2" s="970"/>
    </row>
    <row r="3" spans="1:9" ht="18.5" customHeight="1" thickBot="1">
      <c r="A3" s="698"/>
      <c r="B3" s="698"/>
      <c r="C3" s="698"/>
      <c r="D3" s="698"/>
      <c r="E3" s="698"/>
      <c r="F3" s="698"/>
      <c r="G3" s="970"/>
      <c r="H3" s="970"/>
      <c r="I3" s="698"/>
    </row>
    <row r="4" spans="1:9" ht="18.5" customHeight="1">
      <c r="A4" s="950" t="s">
        <v>424</v>
      </c>
      <c r="B4" s="951"/>
      <c r="C4" s="951"/>
      <c r="D4" s="951"/>
      <c r="E4" s="740"/>
      <c r="F4" s="962" t="str">
        <f>+'New Year-Full Year'!P3&amp;" Proposed"</f>
        <v>2022 Budget Proposed</v>
      </c>
      <c r="G4" s="962" t="str">
        <f>+'New Year-Full Year'!P3&amp;" Current"</f>
        <v>2022 Budget Current</v>
      </c>
      <c r="H4" s="962" t="str">
        <f>+'New Year-Full Year'!Q3</f>
        <v>2021 Budget</v>
      </c>
      <c r="I4" s="741"/>
    </row>
    <row r="5" spans="1:9" ht="38" customHeight="1" thickBot="1">
      <c r="A5" s="742"/>
      <c r="B5" s="743" t="s">
        <v>428</v>
      </c>
      <c r="C5" s="744" t="s">
        <v>433</v>
      </c>
      <c r="D5" s="745" t="s">
        <v>429</v>
      </c>
      <c r="E5" s="745"/>
      <c r="F5" s="955"/>
      <c r="G5" s="955"/>
      <c r="H5" s="955"/>
      <c r="I5" s="746" t="s">
        <v>441</v>
      </c>
    </row>
    <row r="6" spans="1:9" ht="18.5" customHeight="1">
      <c r="A6" s="749" t="s">
        <v>372</v>
      </c>
      <c r="B6" s="750" t="s">
        <v>430</v>
      </c>
      <c r="C6" s="751" t="s">
        <v>434</v>
      </c>
      <c r="D6" s="963" t="s">
        <v>105</v>
      </c>
      <c r="E6" s="963"/>
      <c r="F6" s="727">
        <f>ROUND(+H6*1.01,0)-13</f>
        <v>16536</v>
      </c>
      <c r="G6" s="752">
        <f>+'New Year-Full Year'!P108</f>
        <v>16795</v>
      </c>
      <c r="H6" s="752">
        <f>+'New Year-Full Year'!Q108</f>
        <v>16385</v>
      </c>
      <c r="I6" s="968" t="s">
        <v>453</v>
      </c>
    </row>
    <row r="7" spans="1:9" ht="18.5" customHeight="1">
      <c r="A7" s="753"/>
      <c r="B7" s="729" t="s">
        <v>426</v>
      </c>
      <c r="C7" s="729"/>
      <c r="D7" s="964"/>
      <c r="E7" s="964"/>
      <c r="F7" s="730">
        <f>+F6-$H6</f>
        <v>151</v>
      </c>
      <c r="G7" s="731">
        <f>+G6-$H6</f>
        <v>410</v>
      </c>
      <c r="H7" s="729"/>
      <c r="I7" s="957"/>
    </row>
    <row r="8" spans="1:9" ht="16" thickBot="1">
      <c r="A8" s="365"/>
      <c r="B8" s="352" t="s">
        <v>432</v>
      </c>
      <c r="C8" s="732"/>
      <c r="D8" s="965"/>
      <c r="E8" s="965"/>
      <c r="F8" s="772">
        <f>+F7/$H6</f>
        <v>9.2157461092462617E-3</v>
      </c>
      <c r="G8" s="733">
        <f>+G7/$H6</f>
        <v>2.5022886786695148E-2</v>
      </c>
      <c r="H8" s="352"/>
      <c r="I8" s="961"/>
    </row>
    <row r="9" spans="1:9" ht="18.5" customHeight="1">
      <c r="A9" s="754" t="s">
        <v>373</v>
      </c>
      <c r="B9" s="726" t="s">
        <v>431</v>
      </c>
      <c r="C9" s="725" t="s">
        <v>434</v>
      </c>
      <c r="D9" s="966" t="s">
        <v>448</v>
      </c>
      <c r="E9" s="966"/>
      <c r="F9" s="727">
        <f>ROUND(+H9*1.01,0)</f>
        <v>3122</v>
      </c>
      <c r="G9" s="728">
        <f>+'New Year-Full Year'!P110</f>
        <v>3168</v>
      </c>
      <c r="H9" s="728">
        <f>+'New Year-Full Year'!Q110</f>
        <v>3091</v>
      </c>
      <c r="I9" s="968" t="s">
        <v>453</v>
      </c>
    </row>
    <row r="10" spans="1:9" ht="18.5" customHeight="1">
      <c r="A10" s="753"/>
      <c r="B10" s="729" t="s">
        <v>426</v>
      </c>
      <c r="C10" s="729"/>
      <c r="D10" s="964"/>
      <c r="E10" s="964"/>
      <c r="F10" s="730">
        <f>+F9-$H9</f>
        <v>31</v>
      </c>
      <c r="G10" s="731">
        <f>+G9-$H9</f>
        <v>77</v>
      </c>
      <c r="H10" s="729"/>
      <c r="I10" s="957"/>
    </row>
    <row r="11" spans="1:9">
      <c r="A11" s="365"/>
      <c r="B11" s="352" t="s">
        <v>432</v>
      </c>
      <c r="C11" s="732"/>
      <c r="D11" s="965"/>
      <c r="E11" s="965"/>
      <c r="F11" s="733">
        <f>+F10/$H9</f>
        <v>1.0029116790682626E-2</v>
      </c>
      <c r="G11" s="733">
        <f>+G10/$H9</f>
        <v>2.491103202846975E-2</v>
      </c>
      <c r="H11" s="352"/>
      <c r="I11" s="961"/>
    </row>
    <row r="12" spans="1:9" ht="18.5" customHeight="1">
      <c r="A12" s="754" t="s">
        <v>374</v>
      </c>
      <c r="B12" s="726" t="s">
        <v>313</v>
      </c>
      <c r="C12" s="725" t="s">
        <v>434</v>
      </c>
      <c r="D12" s="966" t="s">
        <v>45</v>
      </c>
      <c r="E12" s="966"/>
      <c r="F12" s="727">
        <v>7634</v>
      </c>
      <c r="G12" s="728">
        <f>+'New Year-Full Year'!P116</f>
        <v>3000</v>
      </c>
      <c r="H12" s="728">
        <f>+'New Year-Full Year'!Q116</f>
        <v>7634</v>
      </c>
      <c r="I12" s="956" t="s">
        <v>442</v>
      </c>
    </row>
    <row r="13" spans="1:9" ht="18.5" customHeight="1">
      <c r="A13" s="753"/>
      <c r="B13" s="729" t="s">
        <v>426</v>
      </c>
      <c r="C13" s="729"/>
      <c r="D13" s="964"/>
      <c r="E13" s="964"/>
      <c r="F13" s="730">
        <f>+F12-$H12</f>
        <v>0</v>
      </c>
      <c r="G13" s="731">
        <f>+G12-$H12</f>
        <v>-4634</v>
      </c>
      <c r="H13" s="729"/>
      <c r="I13" s="957"/>
    </row>
    <row r="14" spans="1:9" ht="16" thickBot="1">
      <c r="A14" s="358"/>
      <c r="B14" s="359" t="s">
        <v>432</v>
      </c>
      <c r="C14" s="755"/>
      <c r="D14" s="967"/>
      <c r="E14" s="967"/>
      <c r="F14" s="756">
        <f>+F13/$H12</f>
        <v>0</v>
      </c>
      <c r="G14" s="756">
        <f>+G13/$H12</f>
        <v>-0.60702122085407384</v>
      </c>
      <c r="H14" s="359"/>
      <c r="I14" s="958"/>
    </row>
    <row r="15" spans="1:9" ht="16" thickBot="1"/>
    <row r="16" spans="1:9" ht="18.5" customHeight="1">
      <c r="A16" s="950" t="s">
        <v>436</v>
      </c>
      <c r="B16" s="951"/>
      <c r="C16" s="951"/>
      <c r="D16" s="951"/>
      <c r="E16" s="740"/>
      <c r="F16" s="962" t="str">
        <f>+F$4</f>
        <v>2022 Budget Proposed</v>
      </c>
      <c r="G16" s="962" t="str">
        <f t="shared" ref="G16:H16" si="0">+G$4</f>
        <v>2022 Budget Current</v>
      </c>
      <c r="H16" s="962" t="str">
        <f t="shared" si="0"/>
        <v>2021 Budget</v>
      </c>
      <c r="I16" s="741"/>
    </row>
    <row r="17" spans="1:11" ht="38" customHeight="1" thickBot="1">
      <c r="A17" s="742"/>
      <c r="B17" s="743" t="s">
        <v>428</v>
      </c>
      <c r="C17" s="744" t="s">
        <v>437</v>
      </c>
      <c r="D17" s="955" t="s">
        <v>438</v>
      </c>
      <c r="E17" s="955"/>
      <c r="F17" s="955"/>
      <c r="G17" s="955"/>
      <c r="H17" s="955"/>
      <c r="I17" s="746" t="str">
        <f>+I$5</f>
        <v>Notes / Rational for change</v>
      </c>
    </row>
    <row r="18" spans="1:11">
      <c r="A18" s="753" t="s">
        <v>372</v>
      </c>
      <c r="B18" s="697" t="s">
        <v>435</v>
      </c>
      <c r="C18" s="747">
        <v>25</v>
      </c>
      <c r="D18" s="738" t="s">
        <v>439</v>
      </c>
      <c r="E18" s="758">
        <v>13.78</v>
      </c>
      <c r="F18" s="748">
        <f>+$C18*$E18*52</f>
        <v>17914</v>
      </c>
      <c r="G18" s="748">
        <f>+$C18*$E19*52</f>
        <v>17914</v>
      </c>
      <c r="H18" s="748">
        <f>+$C18*$E20*52</f>
        <v>17732</v>
      </c>
      <c r="I18" s="957" t="s">
        <v>454</v>
      </c>
      <c r="K18" s="351"/>
    </row>
    <row r="19" spans="1:11">
      <c r="A19" s="753"/>
      <c r="B19" s="729" t="s">
        <v>426</v>
      </c>
      <c r="C19" s="734"/>
      <c r="D19" s="738" t="s">
        <v>440</v>
      </c>
      <c r="E19" s="758">
        <v>13.78</v>
      </c>
      <c r="F19" s="730">
        <f>+F18-$H18</f>
        <v>182</v>
      </c>
      <c r="G19" s="731">
        <f>+G18-$H18</f>
        <v>182</v>
      </c>
      <c r="H19" s="350"/>
      <c r="I19" s="957"/>
    </row>
    <row r="20" spans="1:11">
      <c r="A20" s="365"/>
      <c r="B20" s="352" t="s">
        <v>432</v>
      </c>
      <c r="C20" s="732"/>
      <c r="D20" s="739" t="s">
        <v>281</v>
      </c>
      <c r="E20" s="759">
        <v>13.64</v>
      </c>
      <c r="F20" s="733">
        <f>+F19/$H18</f>
        <v>1.0263929618768328E-2</v>
      </c>
      <c r="G20" s="733">
        <f>+G19/$H18</f>
        <v>1.0263929618768328E-2</v>
      </c>
      <c r="H20" s="352"/>
      <c r="I20" s="961"/>
    </row>
    <row r="21" spans="1:11">
      <c r="A21" s="754" t="s">
        <v>373</v>
      </c>
      <c r="B21" s="726" t="s">
        <v>443</v>
      </c>
      <c r="C21" s="736">
        <v>20</v>
      </c>
      <c r="D21" s="737" t="s">
        <v>439</v>
      </c>
      <c r="E21" s="760">
        <v>11.57</v>
      </c>
      <c r="F21" s="748">
        <f>+$C21*$E21*52</f>
        <v>12032.800000000001</v>
      </c>
      <c r="G21" s="748">
        <f>+$C21*$E22*52</f>
        <v>12157.599999999999</v>
      </c>
      <c r="H21" s="748">
        <f>+$C21*$E23*52</f>
        <v>12032.800000000001</v>
      </c>
      <c r="I21" s="956" t="s">
        <v>445</v>
      </c>
    </row>
    <row r="22" spans="1:11">
      <c r="A22" s="753"/>
      <c r="B22" s="729" t="s">
        <v>426</v>
      </c>
      <c r="C22" s="734"/>
      <c r="D22" s="738" t="s">
        <v>440</v>
      </c>
      <c r="E22" s="758">
        <v>11.69</v>
      </c>
      <c r="F22" s="730">
        <f>+F21-$H21</f>
        <v>0</v>
      </c>
      <c r="G22" s="731">
        <f>+G21-$H21</f>
        <v>124.79999999999745</v>
      </c>
      <c r="H22" s="350"/>
      <c r="I22" s="957"/>
    </row>
    <row r="23" spans="1:11">
      <c r="A23" s="365"/>
      <c r="B23" s="352" t="s">
        <v>432</v>
      </c>
      <c r="C23" s="732"/>
      <c r="D23" s="739" t="s">
        <v>281</v>
      </c>
      <c r="E23" s="759">
        <v>11.57</v>
      </c>
      <c r="F23" s="733">
        <f>+F22/$H21</f>
        <v>0</v>
      </c>
      <c r="G23" s="733">
        <f>+G22/$H21</f>
        <v>1.0371650821088811E-2</v>
      </c>
      <c r="H23" s="352"/>
      <c r="I23" s="961"/>
    </row>
    <row r="24" spans="1:11" ht="15.5" customHeight="1">
      <c r="A24" s="754" t="s">
        <v>374</v>
      </c>
      <c r="B24" s="726" t="s">
        <v>444</v>
      </c>
      <c r="C24" s="736">
        <v>7.5</v>
      </c>
      <c r="D24" s="737" t="s">
        <v>439</v>
      </c>
      <c r="E24" s="760">
        <v>11.22</v>
      </c>
      <c r="F24" s="748">
        <f>+$C24*$E24*52</f>
        <v>4375.8</v>
      </c>
      <c r="G24" s="748">
        <f>+$C24*$E25*52</f>
        <v>4418.7</v>
      </c>
      <c r="H24" s="748">
        <f>+$C24*$E26*52</f>
        <v>4375.8</v>
      </c>
      <c r="I24" s="956" t="s">
        <v>445</v>
      </c>
    </row>
    <row r="25" spans="1:11">
      <c r="A25" s="753"/>
      <c r="B25" s="729" t="s">
        <v>426</v>
      </c>
      <c r="C25" s="734"/>
      <c r="D25" s="738" t="s">
        <v>440</v>
      </c>
      <c r="E25" s="758">
        <v>11.33</v>
      </c>
      <c r="F25" s="730">
        <f>+F24-$H24</f>
        <v>0</v>
      </c>
      <c r="G25" s="731">
        <f>+G24-$H24</f>
        <v>42.899999999999636</v>
      </c>
      <c r="H25" s="350"/>
      <c r="I25" s="957"/>
    </row>
    <row r="26" spans="1:11">
      <c r="A26" s="365"/>
      <c r="B26" s="352" t="s">
        <v>432</v>
      </c>
      <c r="C26" s="732"/>
      <c r="D26" s="739" t="s">
        <v>281</v>
      </c>
      <c r="E26" s="759">
        <v>11.22</v>
      </c>
      <c r="F26" s="733">
        <f>+F25/$H24</f>
        <v>0</v>
      </c>
      <c r="G26" s="733">
        <f>+G25/$H24</f>
        <v>9.8039215686273676E-3</v>
      </c>
      <c r="H26" s="352"/>
      <c r="I26" s="961"/>
    </row>
    <row r="27" spans="1:11" ht="18.5" customHeight="1">
      <c r="A27" s="754" t="s">
        <v>377</v>
      </c>
      <c r="B27" s="726" t="s">
        <v>427</v>
      </c>
      <c r="C27" s="736">
        <v>40</v>
      </c>
      <c r="D27" s="737" t="s">
        <v>439</v>
      </c>
      <c r="E27" s="760">
        <f>ROUND(+E29*1.02,2)</f>
        <v>17.690000000000001</v>
      </c>
      <c r="F27" s="748">
        <f>+$C27*$E27*52</f>
        <v>36795.200000000004</v>
      </c>
      <c r="G27" s="748">
        <f>+$C27*$E28*52</f>
        <v>36420.800000000003</v>
      </c>
      <c r="H27" s="748">
        <f>+$C27*$E29*52</f>
        <v>36067.200000000004</v>
      </c>
      <c r="I27" s="956" t="s">
        <v>447</v>
      </c>
    </row>
    <row r="28" spans="1:11" ht="18.5" customHeight="1">
      <c r="A28" s="753"/>
      <c r="B28" s="729" t="s">
        <v>426</v>
      </c>
      <c r="C28" s="734"/>
      <c r="D28" s="738" t="s">
        <v>440</v>
      </c>
      <c r="E28" s="758">
        <v>17.510000000000002</v>
      </c>
      <c r="F28" s="730">
        <f>+F27-$H27</f>
        <v>728</v>
      </c>
      <c r="G28" s="731">
        <f>+G27-$H27</f>
        <v>353.59999999999854</v>
      </c>
      <c r="H28" s="350"/>
      <c r="I28" s="957"/>
    </row>
    <row r="29" spans="1:11">
      <c r="A29" s="365"/>
      <c r="B29" s="352" t="s">
        <v>432</v>
      </c>
      <c r="C29" s="732"/>
      <c r="D29" s="739" t="s">
        <v>281</v>
      </c>
      <c r="E29" s="759">
        <v>17.34</v>
      </c>
      <c r="F29" s="733">
        <f>+F28/$H27</f>
        <v>2.0184544405997689E-2</v>
      </c>
      <c r="G29" s="733">
        <f>+G28/$H27</f>
        <v>9.8039215686274092E-3</v>
      </c>
      <c r="H29" s="352"/>
      <c r="I29" s="961"/>
    </row>
    <row r="30" spans="1:11" ht="18.5" customHeight="1">
      <c r="A30" s="753" t="s">
        <v>378</v>
      </c>
      <c r="B30" s="697" t="s">
        <v>446</v>
      </c>
      <c r="C30" s="747">
        <v>15</v>
      </c>
      <c r="D30" s="738" t="s">
        <v>439</v>
      </c>
      <c r="E30" s="758">
        <f>ROUND(+E32*(1+0),2)</f>
        <v>14.57</v>
      </c>
      <c r="F30" s="748">
        <f>+$C30*$E30*52</f>
        <v>11364.6</v>
      </c>
      <c r="G30" s="748">
        <f>+$C30*$E31*52</f>
        <v>11481.6</v>
      </c>
      <c r="H30" s="748">
        <f>+$C30*$E32*52</f>
        <v>11364.6</v>
      </c>
      <c r="I30" s="957" t="s">
        <v>445</v>
      </c>
    </row>
    <row r="31" spans="1:11" ht="18.5" customHeight="1">
      <c r="A31" s="753"/>
      <c r="B31" s="729" t="s">
        <v>426</v>
      </c>
      <c r="C31" s="734"/>
      <c r="D31" s="738" t="s">
        <v>440</v>
      </c>
      <c r="E31" s="758">
        <v>14.72</v>
      </c>
      <c r="F31" s="730">
        <f>+F30-$H30</f>
        <v>0</v>
      </c>
      <c r="G31" s="731">
        <f>+G30-$H30</f>
        <v>117</v>
      </c>
      <c r="H31" s="350"/>
      <c r="I31" s="957"/>
    </row>
    <row r="32" spans="1:11" ht="16" thickBot="1">
      <c r="A32" s="358"/>
      <c r="B32" s="359" t="s">
        <v>432</v>
      </c>
      <c r="C32" s="755"/>
      <c r="D32" s="767" t="s">
        <v>281</v>
      </c>
      <c r="E32" s="768">
        <v>14.57</v>
      </c>
      <c r="F32" s="771">
        <f>+F31/$H30</f>
        <v>0</v>
      </c>
      <c r="G32" s="756">
        <f>+G31/$H30</f>
        <v>1.029512697323267E-2</v>
      </c>
      <c r="H32" s="359"/>
      <c r="I32" s="958"/>
    </row>
    <row r="33" spans="1:9" ht="16" thickBot="1">
      <c r="A33" s="350"/>
      <c r="B33" s="350"/>
      <c r="C33" s="734"/>
      <c r="D33" s="738"/>
      <c r="E33" s="758"/>
      <c r="F33" s="735"/>
      <c r="G33" s="735"/>
      <c r="H33" s="350"/>
      <c r="I33" s="757"/>
    </row>
    <row r="34" spans="1:9" ht="18">
      <c r="A34" s="950" t="s">
        <v>387</v>
      </c>
      <c r="B34" s="951"/>
      <c r="C34" s="951"/>
      <c r="D34" s="951"/>
      <c r="E34" s="951"/>
      <c r="F34" s="962" t="str">
        <f>+F$4</f>
        <v>2022 Budget Proposed</v>
      </c>
      <c r="G34" s="962" t="str">
        <f t="shared" ref="G34:H34" si="1">+G$4</f>
        <v>2022 Budget Current</v>
      </c>
      <c r="H34" s="962" t="str">
        <f t="shared" si="1"/>
        <v>2021 Budget</v>
      </c>
      <c r="I34" s="741"/>
    </row>
    <row r="35" spans="1:9" ht="34" customHeight="1" thickBot="1">
      <c r="A35" s="952"/>
      <c r="B35" s="953"/>
      <c r="C35" s="953"/>
      <c r="D35" s="953"/>
      <c r="E35" s="953"/>
      <c r="F35" s="955"/>
      <c r="G35" s="955"/>
      <c r="H35" s="955"/>
      <c r="I35" s="746" t="str">
        <f>+I$5</f>
        <v>Notes / Rational for change</v>
      </c>
    </row>
    <row r="36" spans="1:9">
      <c r="A36" s="365" t="s">
        <v>449</v>
      </c>
      <c r="B36" s="352"/>
      <c r="C36" s="732"/>
      <c r="D36" s="352"/>
      <c r="E36" s="352"/>
      <c r="F36" s="764">
        <f>+G36</f>
        <v>14264</v>
      </c>
      <c r="G36" s="764">
        <f>3650+10614</f>
        <v>14264</v>
      </c>
      <c r="H36" s="764">
        <f>3501+12642+1</f>
        <v>16144</v>
      </c>
      <c r="I36" s="366"/>
    </row>
    <row r="37" spans="1:9">
      <c r="A37" s="765" t="s">
        <v>48</v>
      </c>
      <c r="B37" s="761"/>
      <c r="C37" s="762"/>
      <c r="D37" s="761"/>
      <c r="E37" s="761"/>
      <c r="F37" s="763">
        <f>+G37</f>
        <v>30259</v>
      </c>
      <c r="G37" s="763">
        <f>800+500+13800+3000+3375+1500+2759+1000+400+700+925+1500</f>
        <v>30259</v>
      </c>
      <c r="H37" s="763">
        <f>800+500+13800+3000+3375+1500+2759+1000+400+700+925+1500</f>
        <v>30259</v>
      </c>
      <c r="I37" s="766" t="s">
        <v>451</v>
      </c>
    </row>
    <row r="38" spans="1:9">
      <c r="A38" s="959" t="s">
        <v>450</v>
      </c>
      <c r="B38" s="960"/>
      <c r="C38" s="736"/>
      <c r="D38" s="737"/>
      <c r="E38" s="760"/>
      <c r="F38" s="770">
        <f>+G38</f>
        <v>188497</v>
      </c>
      <c r="G38" s="770">
        <f>102099+86398</f>
        <v>188497</v>
      </c>
      <c r="H38" s="770">
        <f>100670+48251+18950+8843</f>
        <v>176714</v>
      </c>
      <c r="I38" s="956" t="s">
        <v>452</v>
      </c>
    </row>
    <row r="39" spans="1:9">
      <c r="A39" s="753"/>
      <c r="B39" s="729"/>
      <c r="C39" s="734"/>
      <c r="D39" s="738"/>
      <c r="E39" s="758"/>
      <c r="F39" s="730">
        <f>+F38-$H38</f>
        <v>11783</v>
      </c>
      <c r="G39" s="731">
        <f>+G38-$H38</f>
        <v>11783</v>
      </c>
      <c r="H39" s="350"/>
      <c r="I39" s="957"/>
    </row>
    <row r="40" spans="1:9" ht="16" thickBot="1">
      <c r="A40" s="358"/>
      <c r="B40" s="359"/>
      <c r="C40" s="755"/>
      <c r="D40" s="767"/>
      <c r="E40" s="768"/>
      <c r="F40" s="756">
        <f>+F39/$H38</f>
        <v>6.667836164650226E-2</v>
      </c>
      <c r="G40" s="756">
        <f>+G39/$H38</f>
        <v>6.667836164650226E-2</v>
      </c>
      <c r="H40" s="359"/>
      <c r="I40" s="958"/>
    </row>
    <row r="41" spans="1:9" ht="16" thickBot="1"/>
    <row r="42" spans="1:9" ht="18">
      <c r="A42" s="950" t="s">
        <v>55</v>
      </c>
      <c r="B42" s="951"/>
      <c r="C42" s="951"/>
      <c r="D42" s="951"/>
      <c r="E42" s="951"/>
      <c r="F42" s="954">
        <f>+F6+F9+F12+F18+F21+F24+F27+F30+F36+F37+F38</f>
        <v>342794.4</v>
      </c>
      <c r="G42" s="954">
        <f>+G6+G9+G12+G18+G21+G24+G27+G30+G36+G37+G38</f>
        <v>338375.7</v>
      </c>
      <c r="H42" s="954">
        <f t="shared" ref="H42" si="2">+H6+H9+H12+H18+H21+H24+H27+H30+H36+H37+H38</f>
        <v>331799.40000000002</v>
      </c>
      <c r="I42" s="741"/>
    </row>
    <row r="43" spans="1:9" ht="18.5" thickBot="1">
      <c r="A43" s="952"/>
      <c r="B43" s="953"/>
      <c r="C43" s="953"/>
      <c r="D43" s="953"/>
      <c r="E43" s="953"/>
      <c r="F43" s="955"/>
      <c r="G43" s="955"/>
      <c r="H43" s="955"/>
      <c r="I43" s="746"/>
    </row>
    <row r="45" spans="1:9">
      <c r="F45" s="769"/>
      <c r="G45" s="724"/>
      <c r="H45" s="769"/>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sheetPr>
    <pageSetUpPr fitToPage="1"/>
  </sheetPr>
  <dimension ref="A1:Y75"/>
  <sheetViews>
    <sheetView showGridLines="0" topLeftCell="A33" workbookViewId="0">
      <selection activeCell="Y23" sqref="Y23"/>
    </sheetView>
  </sheetViews>
  <sheetFormatPr defaultRowHeight="14.5" outlineLevelCol="1"/>
  <cols>
    <col min="1" max="1" width="49.36328125" style="136" customWidth="1"/>
    <col min="2" max="2" width="10.453125" style="136" hidden="1" customWidth="1" outlineLevel="1"/>
    <col min="3" max="3" width="10" style="136" hidden="1" customWidth="1" outlineLevel="1"/>
    <col min="4" max="6" width="8.7265625" style="136" hidden="1" customWidth="1" outlineLevel="1"/>
    <col min="7" max="7" width="13.90625" style="136" hidden="1" customWidth="1" outlineLevel="1" collapsed="1"/>
    <col min="8" max="9" width="13.90625" style="136" hidden="1" customWidth="1" outlineLevel="1"/>
    <col min="10" max="10" width="23.6328125" style="136" hidden="1" customWidth="1" outlineLevel="1"/>
    <col min="11" max="11" width="13.90625" style="136" customWidth="1" collapsed="1"/>
    <col min="12" max="16" width="13.90625" style="136" hidden="1" customWidth="1"/>
    <col min="17" max="18" width="13.90625" style="136" customWidth="1"/>
    <col min="19" max="22" width="13.90625" style="136" hidden="1" customWidth="1"/>
    <col min="23" max="24" width="8.7265625" style="136"/>
    <col min="25" max="25" width="31.54296875" style="136" customWidth="1"/>
    <col min="26" max="16384" width="8.7265625" style="136"/>
  </cols>
  <sheetData>
    <row r="1" spans="1:25" ht="21">
      <c r="A1" s="980" t="s">
        <v>530</v>
      </c>
      <c r="B1" s="980"/>
      <c r="C1" s="980"/>
      <c r="D1" s="980"/>
      <c r="E1" s="980"/>
      <c r="F1" s="980"/>
      <c r="G1" s="980"/>
      <c r="H1" s="980"/>
      <c r="I1" s="980"/>
      <c r="J1" s="980"/>
      <c r="K1" s="980"/>
      <c r="L1" s="980"/>
      <c r="M1" s="980"/>
      <c r="N1" s="980"/>
      <c r="O1" s="980"/>
      <c r="P1" s="980"/>
      <c r="Q1" s="980"/>
      <c r="R1" s="980"/>
      <c r="S1" s="980"/>
      <c r="T1" s="980"/>
      <c r="U1" s="980"/>
      <c r="V1" s="980"/>
      <c r="W1" s="980"/>
      <c r="X1" s="980"/>
      <c r="Y1" s="980"/>
    </row>
    <row r="2" spans="1:25">
      <c r="K2" s="812"/>
      <c r="L2" s="986"/>
      <c r="M2" s="986"/>
      <c r="N2" s="986"/>
      <c r="O2" s="986"/>
      <c r="P2" s="986"/>
      <c r="Q2" s="840"/>
      <c r="R2" s="986"/>
      <c r="S2" s="986"/>
      <c r="T2" s="986"/>
      <c r="U2" s="986"/>
      <c r="V2" s="987"/>
    </row>
    <row r="3" spans="1:25" ht="43.5" customHeight="1">
      <c r="A3" s="862" t="s">
        <v>573</v>
      </c>
      <c r="B3" s="982">
        <v>2018</v>
      </c>
      <c r="C3" s="983"/>
      <c r="D3" s="983"/>
      <c r="E3" s="983"/>
      <c r="F3" s="984"/>
      <c r="G3" s="410" t="s">
        <v>184</v>
      </c>
      <c r="H3" s="137" t="s">
        <v>202</v>
      </c>
      <c r="I3" s="410" t="s">
        <v>281</v>
      </c>
      <c r="K3" s="829" t="s">
        <v>367</v>
      </c>
      <c r="L3" s="830" t="s">
        <v>360</v>
      </c>
      <c r="M3" s="830" t="s">
        <v>361</v>
      </c>
      <c r="N3" s="831" t="s">
        <v>362</v>
      </c>
      <c r="O3" s="831" t="s">
        <v>363</v>
      </c>
      <c r="P3" s="830" t="s">
        <v>364</v>
      </c>
      <c r="Q3" s="832" t="s">
        <v>458</v>
      </c>
      <c r="R3" s="830" t="s">
        <v>360</v>
      </c>
      <c r="S3" s="583" t="s">
        <v>361</v>
      </c>
      <c r="T3" s="584" t="s">
        <v>362</v>
      </c>
      <c r="U3" s="584" t="s">
        <v>363</v>
      </c>
      <c r="V3" s="583" t="s">
        <v>364</v>
      </c>
      <c r="W3" s="988" t="str">
        <f>"To Buy Back one week of vacation is $"&amp;ROUND(+Q11/52,2)&amp;"0 per week or $"&amp;ROUND(+Q11/52,0)/5&amp;" Per day."</f>
        <v>To Buy Back one week of vacation is $1509.60 per week or $302 Per day.</v>
      </c>
      <c r="X3" s="989"/>
      <c r="Y3" s="989"/>
    </row>
    <row r="4" spans="1:25" ht="14.5" customHeight="1">
      <c r="A4" s="443" t="s">
        <v>38</v>
      </c>
      <c r="B4" s="169">
        <v>52894</v>
      </c>
      <c r="C4" s="123">
        <f>+B7-C6</f>
        <v>46762</v>
      </c>
      <c r="D4" s="123">
        <f>+B7-D6</f>
        <v>46762</v>
      </c>
      <c r="E4" s="123">
        <f>+B4</f>
        <v>52894</v>
      </c>
      <c r="F4" s="133"/>
      <c r="G4" s="170">
        <f>+B7-G6</f>
        <v>46322</v>
      </c>
      <c r="H4" s="170"/>
      <c r="I4" s="170">
        <f>71540-22000</f>
        <v>49540</v>
      </c>
      <c r="K4" s="170">
        <f>+K11-K6</f>
        <v>52510</v>
      </c>
      <c r="L4" s="586">
        <f>+L7-L6</f>
        <v>53618</v>
      </c>
      <c r="M4" s="586">
        <f>+I4*(1+0.02)</f>
        <v>50530.8</v>
      </c>
      <c r="N4" s="586">
        <f>+I4*(1+0.01)</f>
        <v>50035.4</v>
      </c>
      <c r="O4" s="586">
        <f>+I4</f>
        <v>49540</v>
      </c>
      <c r="P4" s="586">
        <f>+I4*(1+0.026)+1110</f>
        <v>51938.04</v>
      </c>
      <c r="Q4" s="139">
        <f>+V4</f>
        <v>56499</v>
      </c>
      <c r="R4" s="586">
        <f>+R7-R6</f>
        <v>58551</v>
      </c>
      <c r="S4" s="586">
        <f t="shared" ref="S4:V4" si="0">+S7-S6</f>
        <v>54000.2</v>
      </c>
      <c r="T4" s="586">
        <f t="shared" si="0"/>
        <v>53255.100000000006</v>
      </c>
      <c r="U4" s="586">
        <f t="shared" si="0"/>
        <v>52510</v>
      </c>
      <c r="V4" s="586">
        <f t="shared" si="0"/>
        <v>56499</v>
      </c>
      <c r="W4" s="990" t="str">
        <f>"For 2022, 20 years of experience plus a COLA 5% per ELCA quidelines = "&amp;ROUND((+Q7-K7)/K7,3)*100&amp;"% increase due to vacation purchase."</f>
        <v>For 2022, 20 years of experience plus a COLA 5% per ELCA quidelines = 5.4% increase due to vacation purchase.</v>
      </c>
      <c r="X4" s="991"/>
      <c r="Y4" s="991"/>
    </row>
    <row r="5" spans="1:25" ht="8" hidden="1" customHeight="1">
      <c r="A5" s="168"/>
      <c r="B5" s="171">
        <v>0.3</v>
      </c>
      <c r="C5" s="125"/>
      <c r="D5" s="125"/>
      <c r="E5" s="124">
        <v>0.3</v>
      </c>
      <c r="F5" s="172"/>
      <c r="G5" s="173"/>
      <c r="H5" s="173"/>
      <c r="I5" s="173"/>
      <c r="K5" s="173"/>
      <c r="L5" s="587"/>
      <c r="M5" s="587"/>
      <c r="N5" s="587"/>
      <c r="O5" s="587"/>
      <c r="P5" s="587"/>
      <c r="Q5" s="140"/>
      <c r="R5" s="587"/>
      <c r="S5" s="587"/>
      <c r="T5" s="587"/>
      <c r="U5" s="587"/>
      <c r="V5" s="587"/>
      <c r="W5" s="990"/>
      <c r="X5" s="991"/>
      <c r="Y5" s="991"/>
    </row>
    <row r="6" spans="1:25" ht="16.5" customHeight="1" thickBot="1">
      <c r="A6" s="168" t="s">
        <v>161</v>
      </c>
      <c r="B6" s="174">
        <f>ROUND(+B4*B5,0)</f>
        <v>15868</v>
      </c>
      <c r="C6" s="127">
        <v>22000</v>
      </c>
      <c r="D6" s="127">
        <f>+C6</f>
        <v>22000</v>
      </c>
      <c r="E6" s="126">
        <f>ROUND(+E4*E5,0)</f>
        <v>15868</v>
      </c>
      <c r="F6" s="130"/>
      <c r="G6" s="175">
        <v>22440</v>
      </c>
      <c r="H6" s="175"/>
      <c r="I6" s="175">
        <v>22000</v>
      </c>
      <c r="K6" s="175">
        <v>22000</v>
      </c>
      <c r="L6" s="588">
        <v>22000</v>
      </c>
      <c r="M6" s="589">
        <f>+I6*(1+0.02)</f>
        <v>22440</v>
      </c>
      <c r="N6" s="589">
        <f>+I6*(1+0.01)</f>
        <v>22220</v>
      </c>
      <c r="O6" s="589">
        <f>+I6</f>
        <v>22000</v>
      </c>
      <c r="P6" s="589">
        <f>+I6*(1+0.026)</f>
        <v>22572</v>
      </c>
      <c r="Q6" s="141">
        <v>22000</v>
      </c>
      <c r="R6" s="589">
        <f>+$Q6</f>
        <v>22000</v>
      </c>
      <c r="S6" s="589">
        <f t="shared" ref="S6:V6" si="1">+$Q6</f>
        <v>22000</v>
      </c>
      <c r="T6" s="589">
        <f t="shared" si="1"/>
        <v>22000</v>
      </c>
      <c r="U6" s="589">
        <f t="shared" si="1"/>
        <v>22000</v>
      </c>
      <c r="V6" s="589">
        <f t="shared" si="1"/>
        <v>22000</v>
      </c>
      <c r="W6" s="990"/>
      <c r="X6" s="991"/>
      <c r="Y6" s="991"/>
    </row>
    <row r="7" spans="1:25" ht="14.5" hidden="1" customHeight="1">
      <c r="A7" s="168" t="s">
        <v>162</v>
      </c>
      <c r="B7" s="176">
        <f>+B4+B6</f>
        <v>68762</v>
      </c>
      <c r="C7" s="177">
        <f>+C4+C6</f>
        <v>68762</v>
      </c>
      <c r="D7" s="177">
        <f>+D4+D6</f>
        <v>68762</v>
      </c>
      <c r="E7" s="177">
        <f>+E4+E6</f>
        <v>68762</v>
      </c>
      <c r="F7" s="178"/>
      <c r="G7" s="179">
        <f>+G4+G6</f>
        <v>68762</v>
      </c>
      <c r="H7" s="179"/>
      <c r="I7" s="179">
        <f>+I4+I6</f>
        <v>71540</v>
      </c>
      <c r="K7" s="179">
        <v>74510</v>
      </c>
      <c r="L7" s="625">
        <v>75618</v>
      </c>
      <c r="M7" s="590">
        <f>+M4+M6</f>
        <v>72970.8</v>
      </c>
      <c r="N7" s="590">
        <f>+N4+N6</f>
        <v>72255.399999999994</v>
      </c>
      <c r="O7" s="590">
        <f>+O4+O6</f>
        <v>71540</v>
      </c>
      <c r="P7" s="590">
        <f>+P4+P6</f>
        <v>74510.040000000008</v>
      </c>
      <c r="Q7" s="142">
        <f>+Q4+Q6</f>
        <v>78499</v>
      </c>
      <c r="R7" s="625">
        <v>80551</v>
      </c>
      <c r="S7" s="590">
        <f>+$K7*(1+0.02)</f>
        <v>76000.2</v>
      </c>
      <c r="T7" s="590">
        <f>+$K7*(1+0.01)</f>
        <v>75255.100000000006</v>
      </c>
      <c r="U7" s="590">
        <f>+$K7*(1+0)</f>
        <v>74510</v>
      </c>
      <c r="V7" s="625">
        <f>ROUND(($K7*(1+0.026))+(R7-($K7*(1+0.026)))/2,0)</f>
        <v>78499</v>
      </c>
      <c r="W7" s="827"/>
      <c r="X7" s="828"/>
      <c r="Y7" s="828"/>
    </row>
    <row r="8" spans="1:25" ht="4" hidden="1" customHeight="1">
      <c r="A8" s="180"/>
      <c r="B8" s="180"/>
      <c r="C8" s="181"/>
      <c r="D8" s="181"/>
      <c r="E8" s="181"/>
      <c r="F8" s="182"/>
      <c r="G8" s="173"/>
      <c r="H8" s="173"/>
      <c r="I8" s="173"/>
      <c r="K8" s="173"/>
      <c r="L8" s="587"/>
      <c r="M8" s="587"/>
      <c r="N8" s="587"/>
      <c r="O8" s="587"/>
      <c r="P8" s="587"/>
      <c r="Q8" s="140"/>
      <c r="R8" s="587"/>
      <c r="S8" s="587"/>
      <c r="T8" s="587"/>
      <c r="U8" s="587"/>
      <c r="V8" s="587"/>
      <c r="W8" s="827"/>
      <c r="X8" s="828"/>
      <c r="Y8" s="828"/>
    </row>
    <row r="9" spans="1:25" ht="14.5" hidden="1" customHeight="1">
      <c r="A9" s="168" t="s">
        <v>172</v>
      </c>
      <c r="B9" s="180"/>
      <c r="C9" s="128">
        <f>(23/24)</f>
        <v>0.95833333333333337</v>
      </c>
      <c r="D9" s="128">
        <f>(23/24)</f>
        <v>0.95833333333333337</v>
      </c>
      <c r="E9" s="128">
        <v>1</v>
      </c>
      <c r="F9" s="129">
        <v>1</v>
      </c>
      <c r="G9" s="183">
        <v>1</v>
      </c>
      <c r="H9" s="183"/>
      <c r="I9" s="183">
        <v>1</v>
      </c>
      <c r="K9" s="183">
        <v>1</v>
      </c>
      <c r="L9" s="591">
        <v>1</v>
      </c>
      <c r="M9" s="591">
        <v>1</v>
      </c>
      <c r="N9" s="591">
        <v>1</v>
      </c>
      <c r="O9" s="591">
        <v>1</v>
      </c>
      <c r="P9" s="591">
        <v>1</v>
      </c>
      <c r="Q9" s="134">
        <v>1</v>
      </c>
      <c r="R9" s="591">
        <v>1</v>
      </c>
      <c r="S9" s="591">
        <v>1</v>
      </c>
      <c r="T9" s="591">
        <v>1</v>
      </c>
      <c r="U9" s="591">
        <v>1</v>
      </c>
      <c r="V9" s="591">
        <v>1</v>
      </c>
      <c r="W9" s="827"/>
      <c r="X9" s="828"/>
      <c r="Y9" s="828"/>
    </row>
    <row r="10" spans="1:25" ht="6.5" hidden="1" customHeight="1">
      <c r="A10" s="180"/>
      <c r="B10" s="180"/>
      <c r="C10" s="181"/>
      <c r="D10" s="181"/>
      <c r="E10" s="181"/>
      <c r="F10" s="182"/>
      <c r="G10" s="173"/>
      <c r="H10" s="173"/>
      <c r="I10" s="173"/>
      <c r="K10" s="173"/>
      <c r="L10" s="587"/>
      <c r="M10" s="587"/>
      <c r="N10" s="587"/>
      <c r="O10" s="587"/>
      <c r="P10" s="587"/>
      <c r="Q10" s="140"/>
      <c r="R10" s="587"/>
      <c r="S10" s="587"/>
      <c r="T10" s="587"/>
      <c r="U10" s="587"/>
      <c r="V10" s="587"/>
      <c r="W10" s="827"/>
      <c r="X10" s="828"/>
      <c r="Y10" s="828"/>
    </row>
    <row r="11" spans="1:25" ht="14.5" hidden="1" customHeight="1">
      <c r="A11" s="187" t="s">
        <v>183</v>
      </c>
      <c r="B11" s="188"/>
      <c r="C11" s="189">
        <f>+C7*C9</f>
        <v>65896.916666666672</v>
      </c>
      <c r="D11" s="189">
        <f>+D7*D9</f>
        <v>65896.916666666672</v>
      </c>
      <c r="E11" s="189">
        <f>+E7*E9</f>
        <v>68762</v>
      </c>
      <c r="F11" s="190">
        <f>+C7*F9</f>
        <v>68762</v>
      </c>
      <c r="G11" s="411">
        <f>ROUND(+G7*(1+G12),0)</f>
        <v>70137</v>
      </c>
      <c r="H11" s="191"/>
      <c r="I11" s="411">
        <f>ROUND(+I7*I9,0)</f>
        <v>71540</v>
      </c>
      <c r="K11" s="567">
        <f t="shared" ref="K11" si="2">ROUND(+K7*K9,0)</f>
        <v>74510</v>
      </c>
      <c r="L11" s="594">
        <f t="shared" ref="L11:P11" si="3">ROUND(+L7*L9,0)</f>
        <v>75618</v>
      </c>
      <c r="M11" s="594">
        <f t="shared" si="3"/>
        <v>72971</v>
      </c>
      <c r="N11" s="594">
        <f t="shared" si="3"/>
        <v>72255</v>
      </c>
      <c r="O11" s="594">
        <f>ROUND(+O7*O9,0)</f>
        <v>71540</v>
      </c>
      <c r="P11" s="594">
        <f t="shared" si="3"/>
        <v>74510</v>
      </c>
      <c r="Q11" s="144">
        <f>ROUND(+Q7*Q9,0)</f>
        <v>78499</v>
      </c>
      <c r="R11" s="594">
        <f t="shared" ref="R11:T11" si="4">ROUND(+R7*R9,0)</f>
        <v>80551</v>
      </c>
      <c r="S11" s="594">
        <f t="shared" si="4"/>
        <v>76000</v>
      </c>
      <c r="T11" s="594">
        <f t="shared" si="4"/>
        <v>75255</v>
      </c>
      <c r="U11" s="594">
        <f>ROUND(+U7*U9,0)</f>
        <v>74510</v>
      </c>
      <c r="V11" s="594">
        <f t="shared" ref="V11" si="5">ROUND(+V7*V9,0)</f>
        <v>78499</v>
      </c>
      <c r="W11" s="827"/>
      <c r="X11" s="828"/>
      <c r="Y11" s="828"/>
    </row>
    <row r="12" spans="1:25" ht="15" hidden="1" thickBot="1">
      <c r="A12" s="168" t="s">
        <v>531</v>
      </c>
      <c r="B12" s="180"/>
      <c r="C12" s="184">
        <v>0</v>
      </c>
      <c r="D12" s="184">
        <v>0</v>
      </c>
      <c r="E12" s="184">
        <v>0</v>
      </c>
      <c r="F12" s="185">
        <v>0</v>
      </c>
      <c r="G12" s="419">
        <v>0.02</v>
      </c>
      <c r="H12" s="186"/>
      <c r="I12" s="627">
        <f>+I11/G11-1</f>
        <v>2.0003707030525897E-2</v>
      </c>
      <c r="K12" s="627">
        <f>+K11/I11-1</f>
        <v>4.1515236231478791E-2</v>
      </c>
      <c r="L12" s="592">
        <f>+L11/O11-1</f>
        <v>5.7003075202683773E-2</v>
      </c>
      <c r="M12" s="592">
        <f>+M11/O11-1</f>
        <v>2.0002795638803361E-2</v>
      </c>
      <c r="N12" s="592">
        <f>+N11/O11-1</f>
        <v>9.9944087223931E-3</v>
      </c>
      <c r="O12" s="593">
        <v>0</v>
      </c>
      <c r="P12" s="592">
        <f>+P11/O11-1</f>
        <v>4.1515236231478791E-2</v>
      </c>
      <c r="Q12" s="448">
        <f>+Q11/K11-1</f>
        <v>5.3536438062005143E-2</v>
      </c>
      <c r="R12" s="592">
        <f>+R11/$K11-1</f>
        <v>8.1076365588511612E-2</v>
      </c>
      <c r="S12" s="592">
        <f>+S11/$K11-1</f>
        <v>1.9997315796537407E-2</v>
      </c>
      <c r="T12" s="592">
        <f>+T11/$K11-1</f>
        <v>9.9986578982687035E-3</v>
      </c>
      <c r="U12" s="592">
        <f>+U11/$K11-1</f>
        <v>0</v>
      </c>
      <c r="V12" s="592">
        <f>+V11/$K11-1</f>
        <v>5.3536438062005143E-2</v>
      </c>
      <c r="W12" s="827"/>
      <c r="X12" s="828"/>
      <c r="Y12" s="828"/>
    </row>
    <row r="13" spans="1:25" ht="15" hidden="1" customHeight="1">
      <c r="A13" s="981" t="s">
        <v>512</v>
      </c>
      <c r="B13" s="180"/>
      <c r="C13" s="181"/>
      <c r="D13" s="181"/>
      <c r="E13" s="181"/>
      <c r="F13" s="182"/>
      <c r="G13" s="173"/>
      <c r="H13" s="173"/>
      <c r="I13" s="173"/>
      <c r="K13" s="173"/>
      <c r="L13" s="587"/>
      <c r="M13" s="587"/>
      <c r="N13" s="587"/>
      <c r="O13" s="587"/>
      <c r="P13" s="587"/>
      <c r="Q13" s="140"/>
      <c r="R13" s="587"/>
      <c r="S13" s="587"/>
      <c r="T13" s="587"/>
      <c r="U13" s="587"/>
      <c r="V13" s="587"/>
      <c r="W13" s="841"/>
      <c r="X13" s="842"/>
      <c r="Y13" s="842"/>
    </row>
    <row r="14" spans="1:25" ht="14.5" hidden="1" customHeight="1">
      <c r="A14" s="981"/>
      <c r="B14" s="180"/>
      <c r="C14" s="123">
        <f>+C28</f>
        <v>0</v>
      </c>
      <c r="D14" s="123">
        <f>+D28</f>
        <v>0</v>
      </c>
      <c r="E14" s="123">
        <f>+E28</f>
        <v>8015</v>
      </c>
      <c r="F14" s="133">
        <f>+F28</f>
        <v>0</v>
      </c>
      <c r="G14" s="192">
        <f>+G30</f>
        <v>2600</v>
      </c>
      <c r="H14" s="192"/>
      <c r="I14" s="192">
        <f>+I30</f>
        <v>3467</v>
      </c>
      <c r="K14" s="192">
        <f>+K30</f>
        <v>0</v>
      </c>
      <c r="L14" s="595">
        <f t="shared" ref="L14:P14" si="6">+L30</f>
        <v>0</v>
      </c>
      <c r="M14" s="595">
        <f t="shared" si="6"/>
        <v>3467</v>
      </c>
      <c r="N14" s="595">
        <f t="shared" si="6"/>
        <v>3467</v>
      </c>
      <c r="O14" s="595">
        <f>+O30</f>
        <v>3467</v>
      </c>
      <c r="P14" s="595">
        <f t="shared" si="6"/>
        <v>3467</v>
      </c>
      <c r="Q14" s="135">
        <f>+Q30</f>
        <v>0</v>
      </c>
      <c r="R14" s="595">
        <f t="shared" ref="R14:T14" si="7">+R30</f>
        <v>0</v>
      </c>
      <c r="S14" s="595">
        <f t="shared" si="7"/>
        <v>0</v>
      </c>
      <c r="T14" s="595">
        <f t="shared" si="7"/>
        <v>0</v>
      </c>
      <c r="U14" s="595">
        <f>+U30</f>
        <v>0</v>
      </c>
      <c r="V14" s="595">
        <f t="shared" ref="V14" si="8">+V30</f>
        <v>0</v>
      </c>
      <c r="W14" s="841"/>
      <c r="X14" s="842"/>
      <c r="Y14" s="842"/>
    </row>
    <row r="15" spans="1:25" ht="8" hidden="1" customHeight="1" thickBot="1">
      <c r="A15" s="193"/>
      <c r="B15" s="180"/>
      <c r="C15" s="181"/>
      <c r="D15" s="181"/>
      <c r="E15" s="181"/>
      <c r="F15" s="182"/>
      <c r="G15" s="173"/>
      <c r="H15" s="173"/>
      <c r="I15" s="173"/>
      <c r="K15" s="173"/>
      <c r="L15" s="587"/>
      <c r="M15" s="587"/>
      <c r="N15" s="587"/>
      <c r="O15" s="587"/>
      <c r="P15" s="587"/>
      <c r="Q15" s="140"/>
      <c r="R15" s="587"/>
      <c r="S15" s="587"/>
      <c r="T15" s="587"/>
      <c r="U15" s="587"/>
      <c r="V15" s="587"/>
      <c r="W15" s="811"/>
      <c r="X15" s="811"/>
      <c r="Y15" s="811"/>
    </row>
    <row r="16" spans="1:25" ht="14.5" customHeight="1">
      <c r="A16" s="187" t="s">
        <v>183</v>
      </c>
      <c r="B16" s="188"/>
      <c r="C16" s="189">
        <f>+C11+C14</f>
        <v>65896.916666666672</v>
      </c>
      <c r="D16" s="189">
        <f>+D11+D14</f>
        <v>65896.916666666672</v>
      </c>
      <c r="E16" s="189">
        <f>+E11+E14</f>
        <v>76777</v>
      </c>
      <c r="F16" s="190">
        <f>+F11+F14</f>
        <v>68762</v>
      </c>
      <c r="G16" s="411">
        <f>+G11+G14</f>
        <v>72737</v>
      </c>
      <c r="H16" s="191">
        <f>50297+22440</f>
        <v>72737</v>
      </c>
      <c r="I16" s="411">
        <f>+I11+I14</f>
        <v>75007</v>
      </c>
      <c r="K16" s="411">
        <f t="shared" ref="K16:V16" si="9">+K11+K14</f>
        <v>74510</v>
      </c>
      <c r="L16" s="594">
        <f t="shared" si="9"/>
        <v>75618</v>
      </c>
      <c r="M16" s="594">
        <f t="shared" si="9"/>
        <v>76438</v>
      </c>
      <c r="N16" s="594">
        <f t="shared" si="9"/>
        <v>75722</v>
      </c>
      <c r="O16" s="594">
        <f t="shared" si="9"/>
        <v>75007</v>
      </c>
      <c r="P16" s="594">
        <f t="shared" si="9"/>
        <v>77977</v>
      </c>
      <c r="Q16" s="144">
        <f t="shared" si="9"/>
        <v>78499</v>
      </c>
      <c r="R16" s="594">
        <f t="shared" si="9"/>
        <v>80551</v>
      </c>
      <c r="S16" s="594">
        <f t="shared" si="9"/>
        <v>76000</v>
      </c>
      <c r="T16" s="594">
        <f t="shared" si="9"/>
        <v>75255</v>
      </c>
      <c r="U16" s="594">
        <f t="shared" si="9"/>
        <v>74510</v>
      </c>
      <c r="V16" s="889">
        <f t="shared" si="9"/>
        <v>78499</v>
      </c>
      <c r="W16" s="971"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972"/>
      <c r="Y16" s="973"/>
    </row>
    <row r="17" spans="1:25">
      <c r="A17" s="180" t="s">
        <v>554</v>
      </c>
      <c r="B17" s="180"/>
      <c r="C17" s="131">
        <v>7.6499999999999999E-2</v>
      </c>
      <c r="D17" s="131">
        <v>7.6499999999999999E-2</v>
      </c>
      <c r="E17" s="131">
        <v>7.6499999999999999E-2</v>
      </c>
      <c r="F17" s="132">
        <v>7.6499999999999999E-2</v>
      </c>
      <c r="G17" s="194">
        <v>7.6499999999999999E-2</v>
      </c>
      <c r="H17" s="194">
        <v>7.6499999999999999E-2</v>
      </c>
      <c r="I17" s="194">
        <v>7.6499999999999999E-2</v>
      </c>
      <c r="K17" s="449">
        <v>7.6499999999999999E-2</v>
      </c>
      <c r="L17" s="596">
        <v>7.6499999999999999E-2</v>
      </c>
      <c r="M17" s="596">
        <v>7.6499999999999999E-2</v>
      </c>
      <c r="N17" s="596">
        <v>7.6499999999999999E-2</v>
      </c>
      <c r="O17" s="596">
        <v>7.6499999999999999E-2</v>
      </c>
      <c r="P17" s="596">
        <v>7.6499999999999999E-2</v>
      </c>
      <c r="Q17" s="635">
        <v>7.6499999999999999E-2</v>
      </c>
      <c r="R17" s="795">
        <f>+$Q17</f>
        <v>7.6499999999999999E-2</v>
      </c>
      <c r="S17" s="796">
        <f t="shared" ref="S17:V17" si="10">+$Q17</f>
        <v>7.6499999999999999E-2</v>
      </c>
      <c r="T17" s="796">
        <f t="shared" si="10"/>
        <v>7.6499999999999999E-2</v>
      </c>
      <c r="U17" s="796">
        <f t="shared" si="10"/>
        <v>7.6499999999999999E-2</v>
      </c>
      <c r="V17" s="892">
        <f t="shared" si="10"/>
        <v>7.6499999999999999E-2</v>
      </c>
      <c r="W17" s="974"/>
      <c r="X17" s="975"/>
      <c r="Y17" s="976"/>
    </row>
    <row r="18" spans="1:25">
      <c r="A18" s="180" t="s">
        <v>296</v>
      </c>
      <c r="B18" s="180"/>
      <c r="C18" s="123">
        <f t="shared" ref="C18:H18" si="11">+C16*C17</f>
        <v>5041.1141250000001</v>
      </c>
      <c r="D18" s="123">
        <f t="shared" si="11"/>
        <v>5041.1141250000001</v>
      </c>
      <c r="E18" s="123">
        <f t="shared" si="11"/>
        <v>5873.4404999999997</v>
      </c>
      <c r="F18" s="133">
        <f t="shared" si="11"/>
        <v>5260.2929999999997</v>
      </c>
      <c r="G18" s="192">
        <f t="shared" si="11"/>
        <v>5564.3805000000002</v>
      </c>
      <c r="H18" s="192">
        <f t="shared" si="11"/>
        <v>5564.3805000000002</v>
      </c>
      <c r="I18" s="192">
        <f>ROUND(+I16*I17,0)</f>
        <v>5738</v>
      </c>
      <c r="J18" s="143"/>
      <c r="K18" s="192">
        <f t="shared" ref="K18:V18" si="12">ROUND(+K16*K17,0)</f>
        <v>5700</v>
      </c>
      <c r="L18" s="595">
        <f t="shared" si="12"/>
        <v>5785</v>
      </c>
      <c r="M18" s="595">
        <f t="shared" si="12"/>
        <v>5848</v>
      </c>
      <c r="N18" s="595">
        <f t="shared" si="12"/>
        <v>5793</v>
      </c>
      <c r="O18" s="595">
        <f t="shared" si="12"/>
        <v>5738</v>
      </c>
      <c r="P18" s="595">
        <f t="shared" si="12"/>
        <v>5965</v>
      </c>
      <c r="Q18" s="135">
        <f t="shared" si="12"/>
        <v>6005</v>
      </c>
      <c r="R18" s="595">
        <f t="shared" si="12"/>
        <v>6162</v>
      </c>
      <c r="S18" s="595">
        <f t="shared" si="12"/>
        <v>5814</v>
      </c>
      <c r="T18" s="595">
        <f t="shared" si="12"/>
        <v>5757</v>
      </c>
      <c r="U18" s="595">
        <f t="shared" si="12"/>
        <v>5700</v>
      </c>
      <c r="V18" s="887">
        <f t="shared" si="12"/>
        <v>6005</v>
      </c>
      <c r="W18" s="974"/>
      <c r="X18" s="975"/>
      <c r="Y18" s="976"/>
    </row>
    <row r="19" spans="1:25" ht="15" thickBot="1">
      <c r="A19" s="195" t="s">
        <v>186</v>
      </c>
      <c r="B19" s="196"/>
      <c r="C19" s="197">
        <f t="shared" ref="C19:I19" si="13">+C16+C18</f>
        <v>70938.030791666679</v>
      </c>
      <c r="D19" s="197">
        <f t="shared" si="13"/>
        <v>70938.030791666679</v>
      </c>
      <c r="E19" s="197">
        <f t="shared" si="13"/>
        <v>82650.440499999997</v>
      </c>
      <c r="F19" s="198">
        <f t="shared" si="13"/>
        <v>74022.293000000005</v>
      </c>
      <c r="G19" s="199">
        <f t="shared" si="13"/>
        <v>78301.380499999999</v>
      </c>
      <c r="H19" s="199">
        <f t="shared" si="13"/>
        <v>78301.380499999999</v>
      </c>
      <c r="I19" s="199">
        <f t="shared" si="13"/>
        <v>80745</v>
      </c>
      <c r="K19" s="199">
        <f t="shared" ref="K19:V19" si="14">+K16+K18</f>
        <v>80210</v>
      </c>
      <c r="L19" s="597">
        <f t="shared" si="14"/>
        <v>81403</v>
      </c>
      <c r="M19" s="597">
        <f t="shared" si="14"/>
        <v>82286</v>
      </c>
      <c r="N19" s="597">
        <f t="shared" si="14"/>
        <v>81515</v>
      </c>
      <c r="O19" s="597">
        <f t="shared" si="14"/>
        <v>80745</v>
      </c>
      <c r="P19" s="597">
        <f t="shared" si="14"/>
        <v>83942</v>
      </c>
      <c r="Q19" s="146">
        <f t="shared" si="14"/>
        <v>84504</v>
      </c>
      <c r="R19" s="597">
        <f t="shared" si="14"/>
        <v>86713</v>
      </c>
      <c r="S19" s="597">
        <f t="shared" si="14"/>
        <v>81814</v>
      </c>
      <c r="T19" s="597">
        <f t="shared" si="14"/>
        <v>81012</v>
      </c>
      <c r="U19" s="597">
        <f t="shared" si="14"/>
        <v>80210</v>
      </c>
      <c r="V19" s="891">
        <f t="shared" si="14"/>
        <v>84504</v>
      </c>
      <c r="W19" s="977"/>
      <c r="X19" s="978"/>
      <c r="Y19" s="979"/>
    </row>
    <row r="20" spans="1:25">
      <c r="A20" s="200"/>
      <c r="B20" s="200"/>
      <c r="C20" s="200"/>
      <c r="D20" s="200"/>
      <c r="E20" s="200"/>
      <c r="F20" s="200"/>
      <c r="G20" s="200"/>
      <c r="H20" s="200"/>
      <c r="I20" s="200"/>
      <c r="K20" s="200"/>
      <c r="L20" s="200"/>
      <c r="M20" s="200"/>
      <c r="N20" s="200"/>
      <c r="O20" s="200"/>
      <c r="P20" s="200"/>
      <c r="Q20" s="200"/>
      <c r="R20" s="200"/>
      <c r="S20" s="200"/>
      <c r="T20" s="200"/>
      <c r="U20" s="200"/>
      <c r="V20" s="200"/>
      <c r="W20" s="1076"/>
      <c r="X20" s="1076"/>
      <c r="Y20" s="1076"/>
    </row>
    <row r="21" spans="1:25">
      <c r="A21" s="201" t="s">
        <v>191</v>
      </c>
      <c r="B21" s="166"/>
      <c r="C21" s="202"/>
      <c r="D21" s="202"/>
      <c r="E21" s="202"/>
      <c r="F21" s="203"/>
      <c r="G21" s="167"/>
      <c r="H21" s="203"/>
      <c r="I21" s="167"/>
      <c r="K21" s="167"/>
      <c r="L21" s="585"/>
      <c r="M21" s="598"/>
      <c r="N21" s="598"/>
      <c r="O21" s="598"/>
      <c r="P21" s="598"/>
      <c r="Q21" s="138"/>
      <c r="R21" s="585"/>
      <c r="S21" s="598"/>
      <c r="T21" s="598"/>
      <c r="U21" s="598"/>
      <c r="V21" s="893"/>
      <c r="W21" s="1076"/>
      <c r="X21" s="1076"/>
      <c r="Y21" s="1076"/>
    </row>
    <row r="22" spans="1:25">
      <c r="A22" s="180" t="s">
        <v>187</v>
      </c>
      <c r="B22" s="180"/>
      <c r="C22" s="123">
        <f>6011.15*C9</f>
        <v>5760.6854166666662</v>
      </c>
      <c r="D22" s="123"/>
      <c r="E22" s="123">
        <f>6011.15*E9</f>
        <v>6011.15</v>
      </c>
      <c r="F22" s="133">
        <f>6011.15</f>
        <v>6011.15</v>
      </c>
      <c r="G22" s="416">
        <v>4973</v>
      </c>
      <c r="H22" s="130"/>
      <c r="I22" s="416">
        <v>5121</v>
      </c>
      <c r="J22" s="565"/>
      <c r="K22" s="416">
        <v>5121</v>
      </c>
      <c r="L22" s="599">
        <v>5121</v>
      </c>
      <c r="M22" s="600">
        <v>5121</v>
      </c>
      <c r="N22" s="600">
        <v>5121</v>
      </c>
      <c r="O22" s="600">
        <v>5121</v>
      </c>
      <c r="P22" s="600">
        <v>5121</v>
      </c>
      <c r="Q22" s="634">
        <v>5385</v>
      </c>
      <c r="R22" s="595">
        <f>+$Q22</f>
        <v>5385</v>
      </c>
      <c r="S22" s="595">
        <f t="shared" ref="S22:V23" si="15">+$Q22</f>
        <v>5385</v>
      </c>
      <c r="T22" s="595">
        <f t="shared" si="15"/>
        <v>5385</v>
      </c>
      <c r="U22" s="595">
        <f t="shared" si="15"/>
        <v>5385</v>
      </c>
      <c r="V22" s="595">
        <f t="shared" si="15"/>
        <v>5385</v>
      </c>
      <c r="W22" s="136" t="s">
        <v>478</v>
      </c>
    </row>
    <row r="23" spans="1:25">
      <c r="A23" s="180" t="s">
        <v>209</v>
      </c>
      <c r="B23" s="180"/>
      <c r="C23" s="122">
        <v>0</v>
      </c>
      <c r="D23" s="122">
        <v>0</v>
      </c>
      <c r="E23" s="122">
        <v>0</v>
      </c>
      <c r="F23" s="130">
        <v>0</v>
      </c>
      <c r="G23" s="416">
        <v>2600</v>
      </c>
      <c r="H23" s="130"/>
      <c r="I23" s="416">
        <v>2600</v>
      </c>
      <c r="J23" s="143"/>
      <c r="K23" s="416">
        <v>2600</v>
      </c>
      <c r="L23" s="599">
        <v>2600</v>
      </c>
      <c r="M23" s="600">
        <v>2600</v>
      </c>
      <c r="N23" s="600">
        <v>2600</v>
      </c>
      <c r="O23" s="600">
        <v>2600</v>
      </c>
      <c r="P23" s="600">
        <v>2600</v>
      </c>
      <c r="Q23" s="634">
        <v>4420</v>
      </c>
      <c r="R23" s="595">
        <f>+$Q23</f>
        <v>4420</v>
      </c>
      <c r="S23" s="595">
        <f t="shared" si="15"/>
        <v>4420</v>
      </c>
      <c r="T23" s="595">
        <f t="shared" si="15"/>
        <v>4420</v>
      </c>
      <c r="U23" s="595">
        <f t="shared" si="15"/>
        <v>4420</v>
      </c>
      <c r="V23" s="595">
        <f t="shared" si="15"/>
        <v>4420</v>
      </c>
      <c r="W23" s="136" t="s">
        <v>478</v>
      </c>
    </row>
    <row r="24" spans="1:25" ht="14.5" hidden="1" customHeight="1">
      <c r="A24" s="180" t="s">
        <v>210</v>
      </c>
      <c r="B24" s="180"/>
      <c r="C24" s="123">
        <f>+C22+C23</f>
        <v>5760.6854166666662</v>
      </c>
      <c r="D24" s="123">
        <f>+D22+D23</f>
        <v>0</v>
      </c>
      <c r="E24" s="123">
        <f>+E22+E23</f>
        <v>6011.15</v>
      </c>
      <c r="F24" s="133">
        <f>+F22+F23</f>
        <v>6011.15</v>
      </c>
      <c r="G24" s="192">
        <f>+G22+G23</f>
        <v>7573</v>
      </c>
      <c r="H24" s="130"/>
      <c r="I24" s="192">
        <f>+I22+I23</f>
        <v>7721</v>
      </c>
      <c r="J24" s="985" t="s">
        <v>307</v>
      </c>
      <c r="K24" s="192">
        <f>+K22+K23</f>
        <v>7721</v>
      </c>
      <c r="L24" s="595">
        <f t="shared" ref="L24:P24" si="16">+L22+L23</f>
        <v>7721</v>
      </c>
      <c r="M24" s="601">
        <f t="shared" si="16"/>
        <v>7721</v>
      </c>
      <c r="N24" s="601">
        <f t="shared" si="16"/>
        <v>7721</v>
      </c>
      <c r="O24" s="601">
        <f>+O22+O23</f>
        <v>7721</v>
      </c>
      <c r="P24" s="601">
        <f t="shared" si="16"/>
        <v>7721</v>
      </c>
      <c r="Q24" s="135">
        <f>+Q22+Q23</f>
        <v>9805</v>
      </c>
      <c r="R24" s="595">
        <f t="shared" ref="R24:T24" si="17">+R22+R23</f>
        <v>9805</v>
      </c>
      <c r="S24" s="601">
        <f t="shared" si="17"/>
        <v>9805</v>
      </c>
      <c r="T24" s="601">
        <f t="shared" si="17"/>
        <v>9805</v>
      </c>
      <c r="U24" s="601">
        <f>+U22+U23</f>
        <v>9805</v>
      </c>
      <c r="V24" s="601">
        <f t="shared" ref="V24" si="18">+V22+V23</f>
        <v>9805</v>
      </c>
    </row>
    <row r="25" spans="1:25" ht="5" hidden="1" customHeight="1">
      <c r="A25" s="180"/>
      <c r="B25" s="180"/>
      <c r="C25" s="131">
        <v>0.25</v>
      </c>
      <c r="D25" s="131"/>
      <c r="E25" s="131">
        <v>0.25</v>
      </c>
      <c r="F25" s="132">
        <v>0.25</v>
      </c>
      <c r="G25" s="449">
        <v>0.25</v>
      </c>
      <c r="H25" s="132"/>
      <c r="I25" s="449"/>
      <c r="J25" s="985"/>
      <c r="K25" s="449"/>
      <c r="L25" s="602"/>
      <c r="M25" s="603"/>
      <c r="N25" s="603"/>
      <c r="O25" s="603"/>
      <c r="P25" s="603"/>
      <c r="Q25" s="635"/>
      <c r="R25" s="602"/>
      <c r="S25" s="603"/>
      <c r="T25" s="603"/>
      <c r="U25" s="603"/>
      <c r="V25" s="603"/>
    </row>
    <row r="26" spans="1:25" hidden="1">
      <c r="A26" s="188" t="s">
        <v>189</v>
      </c>
      <c r="B26" s="188"/>
      <c r="C26" s="204">
        <f>ROUND(+C24/(1-C25),0)</f>
        <v>7681</v>
      </c>
      <c r="D26" s="205">
        <v>8015</v>
      </c>
      <c r="E26" s="204">
        <f>ROUND(+E24/(1-E25),0)</f>
        <v>8015</v>
      </c>
      <c r="F26" s="204">
        <f>ROUND(+F24/(1-F25),0)</f>
        <v>8015</v>
      </c>
      <c r="G26" s="417">
        <f>ROUND(+G24/(1-G25),0)</f>
        <v>10097</v>
      </c>
      <c r="H26" s="206"/>
      <c r="I26" s="417">
        <f>+I24</f>
        <v>7721</v>
      </c>
      <c r="J26" s="985"/>
      <c r="K26" s="417">
        <f>+K22+K23</f>
        <v>7721</v>
      </c>
      <c r="L26" s="604">
        <f t="shared" ref="L26:P26" si="19">+L24</f>
        <v>7721</v>
      </c>
      <c r="M26" s="605">
        <f t="shared" si="19"/>
        <v>7721</v>
      </c>
      <c r="N26" s="605">
        <f t="shared" si="19"/>
        <v>7721</v>
      </c>
      <c r="O26" s="605">
        <f>+O24</f>
        <v>7721</v>
      </c>
      <c r="P26" s="605">
        <f t="shared" si="19"/>
        <v>7721</v>
      </c>
      <c r="Q26" s="636">
        <f>+Q22+Q23</f>
        <v>9805</v>
      </c>
      <c r="R26" s="604">
        <f t="shared" ref="R26:T26" si="20">+R24</f>
        <v>9805</v>
      </c>
      <c r="S26" s="605">
        <f t="shared" si="20"/>
        <v>9805</v>
      </c>
      <c r="T26" s="605">
        <f t="shared" si="20"/>
        <v>9805</v>
      </c>
      <c r="U26" s="605">
        <f>+U24</f>
        <v>9805</v>
      </c>
      <c r="V26" s="605">
        <f t="shared" ref="V26" si="21">+V24</f>
        <v>9805</v>
      </c>
      <c r="W26" s="136" t="s">
        <v>553</v>
      </c>
    </row>
    <row r="27" spans="1:25" ht="3.5" hidden="1" customHeight="1">
      <c r="A27" s="180"/>
      <c r="B27" s="180"/>
      <c r="C27" s="123"/>
      <c r="D27" s="123"/>
      <c r="E27" s="123"/>
      <c r="F27" s="182"/>
      <c r="G27" s="173"/>
      <c r="H27" s="182"/>
      <c r="I27" s="173"/>
      <c r="J27" s="985"/>
      <c r="K27" s="173"/>
      <c r="L27" s="587"/>
      <c r="M27" s="606"/>
      <c r="N27" s="606"/>
      <c r="O27" s="606"/>
      <c r="P27" s="606"/>
      <c r="Q27" s="140"/>
      <c r="R27" s="587"/>
      <c r="S27" s="606"/>
      <c r="T27" s="606"/>
      <c r="U27" s="606"/>
      <c r="V27" s="606"/>
    </row>
    <row r="28" spans="1:25" hidden="1">
      <c r="A28" s="180" t="s">
        <v>308</v>
      </c>
      <c r="B28" s="180"/>
      <c r="C28" s="122">
        <v>0</v>
      </c>
      <c r="D28" s="122">
        <v>0</v>
      </c>
      <c r="E28" s="122">
        <v>8015</v>
      </c>
      <c r="F28" s="130">
        <v>0</v>
      </c>
      <c r="G28" s="416"/>
      <c r="H28" s="130"/>
      <c r="I28" s="416">
        <v>2600</v>
      </c>
      <c r="J28" s="985"/>
      <c r="K28" s="416">
        <v>0</v>
      </c>
      <c r="L28" s="599">
        <v>0</v>
      </c>
      <c r="M28" s="600">
        <v>2600</v>
      </c>
      <c r="N28" s="600">
        <v>2600</v>
      </c>
      <c r="O28" s="600">
        <v>2600</v>
      </c>
      <c r="P28" s="600">
        <v>2600</v>
      </c>
      <c r="Q28" s="634">
        <v>0</v>
      </c>
      <c r="R28" s="595">
        <f>+$Q28</f>
        <v>0</v>
      </c>
      <c r="S28" s="595">
        <f t="shared" ref="S28:V28" si="22">+$Q28</f>
        <v>0</v>
      </c>
      <c r="T28" s="595">
        <f t="shared" si="22"/>
        <v>0</v>
      </c>
      <c r="U28" s="595">
        <f t="shared" si="22"/>
        <v>0</v>
      </c>
      <c r="V28" s="595">
        <f t="shared" si="22"/>
        <v>0</v>
      </c>
    </row>
    <row r="29" spans="1:25" hidden="1">
      <c r="A29" s="180" t="s">
        <v>532</v>
      </c>
      <c r="B29" s="180"/>
      <c r="C29" s="131">
        <v>0.25</v>
      </c>
      <c r="D29" s="131"/>
      <c r="E29" s="131">
        <v>0.25</v>
      </c>
      <c r="F29" s="132">
        <v>0.25</v>
      </c>
      <c r="G29" s="194"/>
      <c r="H29" s="132"/>
      <c r="I29" s="449">
        <v>0.25</v>
      </c>
      <c r="J29" s="985"/>
      <c r="K29" s="449">
        <v>0.25</v>
      </c>
      <c r="L29" s="602">
        <v>0.25</v>
      </c>
      <c r="M29" s="603">
        <v>0.25</v>
      </c>
      <c r="N29" s="603">
        <v>0.25</v>
      </c>
      <c r="O29" s="603">
        <v>0.25</v>
      </c>
      <c r="P29" s="603">
        <v>0.25</v>
      </c>
      <c r="Q29" s="635">
        <v>0.25</v>
      </c>
      <c r="R29" s="795">
        <f>+$Q29</f>
        <v>0.25</v>
      </c>
      <c r="S29" s="795">
        <f t="shared" ref="S29:V29" si="23">+$Q29</f>
        <v>0.25</v>
      </c>
      <c r="T29" s="795">
        <f t="shared" si="23"/>
        <v>0.25</v>
      </c>
      <c r="U29" s="795">
        <f t="shared" si="23"/>
        <v>0.25</v>
      </c>
      <c r="V29" s="795">
        <f t="shared" si="23"/>
        <v>0.25</v>
      </c>
    </row>
    <row r="30" spans="1:25" hidden="1">
      <c r="A30" s="188" t="s">
        <v>342</v>
      </c>
      <c r="B30" s="188"/>
      <c r="C30" s="451"/>
      <c r="D30" s="451"/>
      <c r="E30" s="451"/>
      <c r="F30" s="452"/>
      <c r="G30" s="453">
        <v>2600</v>
      </c>
      <c r="H30" s="452"/>
      <c r="I30" s="417">
        <f>ROUND(+I28/(1-I29),0)</f>
        <v>3467</v>
      </c>
      <c r="J30" s="450"/>
      <c r="K30" s="417">
        <f>ROUND(+K28/(1-K29),0)</f>
        <v>0</v>
      </c>
      <c r="L30" s="604">
        <f t="shared" ref="L30:P30" si="24">ROUND(+L28/(1-L29),0)</f>
        <v>0</v>
      </c>
      <c r="M30" s="605">
        <f t="shared" si="24"/>
        <v>3467</v>
      </c>
      <c r="N30" s="605">
        <f t="shared" si="24"/>
        <v>3467</v>
      </c>
      <c r="O30" s="605">
        <f>ROUND(+O28/(1-O29),0)</f>
        <v>3467</v>
      </c>
      <c r="P30" s="605">
        <f t="shared" si="24"/>
        <v>3467</v>
      </c>
      <c r="Q30" s="636">
        <f>ROUND(+Q28/(1-Q29),0)</f>
        <v>0</v>
      </c>
      <c r="R30" s="604">
        <f t="shared" ref="R30:T30" si="25">ROUND(+R28/(1-R29),0)</f>
        <v>0</v>
      </c>
      <c r="S30" s="605">
        <f t="shared" si="25"/>
        <v>0</v>
      </c>
      <c r="T30" s="605">
        <f t="shared" si="25"/>
        <v>0</v>
      </c>
      <c r="U30" s="605">
        <f>ROUND(+U28/(1-U29),0)</f>
        <v>0</v>
      </c>
      <c r="V30" s="605">
        <f t="shared" ref="V30" si="26">ROUND(+V28/(1-V29),0)</f>
        <v>0</v>
      </c>
    </row>
    <row r="31" spans="1:25">
      <c r="A31" s="195" t="s">
        <v>190</v>
      </c>
      <c r="B31" s="195"/>
      <c r="C31" s="197">
        <f>+C26-C28</f>
        <v>7681</v>
      </c>
      <c r="D31" s="197">
        <f>+D26-D28</f>
        <v>8015</v>
      </c>
      <c r="E31" s="197">
        <f>+E26-E28</f>
        <v>0</v>
      </c>
      <c r="F31" s="198">
        <f>+F26-F28</f>
        <v>8015</v>
      </c>
      <c r="G31" s="199">
        <f>+G26-G30</f>
        <v>7497</v>
      </c>
      <c r="H31" s="198"/>
      <c r="I31" s="199">
        <f>+I24-I28</f>
        <v>5121</v>
      </c>
      <c r="K31" s="199">
        <f>+K24-K28</f>
        <v>7721</v>
      </c>
      <c r="L31" s="597">
        <f t="shared" ref="L31:P31" si="27">+L24-L28</f>
        <v>7721</v>
      </c>
      <c r="M31" s="607">
        <f t="shared" si="27"/>
        <v>5121</v>
      </c>
      <c r="N31" s="607">
        <f t="shared" si="27"/>
        <v>5121</v>
      </c>
      <c r="O31" s="607">
        <f>+O24-O28</f>
        <v>5121</v>
      </c>
      <c r="P31" s="607">
        <f t="shared" si="27"/>
        <v>5121</v>
      </c>
      <c r="Q31" s="146">
        <f>+Q24-Q28</f>
        <v>9805</v>
      </c>
      <c r="R31" s="597">
        <f t="shared" ref="R31:T31" si="28">+R24-R28</f>
        <v>9805</v>
      </c>
      <c r="S31" s="607">
        <f t="shared" si="28"/>
        <v>9805</v>
      </c>
      <c r="T31" s="607">
        <f t="shared" si="28"/>
        <v>9805</v>
      </c>
      <c r="U31" s="607">
        <f>+U24-U28</f>
        <v>9805</v>
      </c>
      <c r="V31" s="607">
        <f t="shared" ref="V31" si="29">+V24-V28</f>
        <v>9805</v>
      </c>
    </row>
    <row r="32" spans="1:25">
      <c r="A32" s="200"/>
      <c r="B32" s="200"/>
      <c r="C32" s="200"/>
      <c r="D32" s="200"/>
      <c r="E32" s="200"/>
      <c r="F32" s="200"/>
      <c r="G32" s="200"/>
      <c r="H32" s="200"/>
      <c r="I32" s="200"/>
      <c r="K32" s="200"/>
      <c r="L32" s="200"/>
      <c r="M32" s="200"/>
      <c r="N32" s="200"/>
      <c r="O32" s="200"/>
      <c r="P32" s="200"/>
      <c r="Q32" s="200"/>
      <c r="R32" s="200"/>
      <c r="S32" s="200"/>
      <c r="T32" s="200"/>
      <c r="U32" s="200"/>
      <c r="V32" s="200"/>
    </row>
    <row r="33" spans="1:22">
      <c r="A33" s="201" t="s">
        <v>533</v>
      </c>
      <c r="B33" s="166"/>
      <c r="C33" s="207">
        <v>0.11</v>
      </c>
      <c r="D33" s="207">
        <v>0.11</v>
      </c>
      <c r="E33" s="207">
        <v>0.11</v>
      </c>
      <c r="F33" s="207">
        <v>0.11</v>
      </c>
      <c r="G33" s="418">
        <v>0.11</v>
      </c>
      <c r="H33" s="207"/>
      <c r="I33" s="418">
        <v>0.11</v>
      </c>
      <c r="K33" s="418">
        <v>0.11</v>
      </c>
      <c r="L33" s="613">
        <v>0.11</v>
      </c>
      <c r="M33" s="608">
        <v>0.11</v>
      </c>
      <c r="N33" s="608">
        <v>0.11</v>
      </c>
      <c r="O33" s="608">
        <v>0.11</v>
      </c>
      <c r="P33" s="608">
        <v>0.11</v>
      </c>
      <c r="Q33" s="630">
        <v>0.11</v>
      </c>
      <c r="R33" s="794">
        <f>+$Q33</f>
        <v>0.11</v>
      </c>
      <c r="S33" s="794">
        <f t="shared" ref="S33:V33" si="30">+$Q33</f>
        <v>0.11</v>
      </c>
      <c r="T33" s="794">
        <f t="shared" si="30"/>
        <v>0.11</v>
      </c>
      <c r="U33" s="794">
        <f t="shared" si="30"/>
        <v>0.11</v>
      </c>
      <c r="V33" s="794">
        <f t="shared" si="30"/>
        <v>0.11</v>
      </c>
    </row>
    <row r="34" spans="1:22">
      <c r="A34" s="180" t="s">
        <v>194</v>
      </c>
      <c r="B34" s="180"/>
      <c r="C34" s="153">
        <f>+C19</f>
        <v>70938.030791666679</v>
      </c>
      <c r="D34" s="153">
        <f>+D19</f>
        <v>70938.030791666679</v>
      </c>
      <c r="E34" s="153">
        <f>+E19</f>
        <v>82650.440499999997</v>
      </c>
      <c r="F34" s="153">
        <f>+F19</f>
        <v>74022.293000000005</v>
      </c>
      <c r="G34" s="170">
        <f>+G19</f>
        <v>78301.380499999999</v>
      </c>
      <c r="H34" s="153"/>
      <c r="I34" s="170">
        <f>+I19</f>
        <v>80745</v>
      </c>
      <c r="K34" s="170">
        <f>+K19</f>
        <v>80210</v>
      </c>
      <c r="L34" s="586">
        <f t="shared" ref="L34:P34" si="31">+L19</f>
        <v>81403</v>
      </c>
      <c r="M34" s="609">
        <f t="shared" si="31"/>
        <v>82286</v>
      </c>
      <c r="N34" s="609">
        <f t="shared" si="31"/>
        <v>81515</v>
      </c>
      <c r="O34" s="609">
        <f>+O19</f>
        <v>80745</v>
      </c>
      <c r="P34" s="609">
        <f t="shared" si="31"/>
        <v>83942</v>
      </c>
      <c r="Q34" s="139">
        <f>+Q19</f>
        <v>84504</v>
      </c>
      <c r="R34" s="586">
        <f t="shared" ref="R34:T34" si="32">+R19</f>
        <v>86713</v>
      </c>
      <c r="S34" s="609">
        <f t="shared" si="32"/>
        <v>81814</v>
      </c>
      <c r="T34" s="609">
        <f t="shared" si="32"/>
        <v>81012</v>
      </c>
      <c r="U34" s="609">
        <f>+U19</f>
        <v>80210</v>
      </c>
      <c r="V34" s="609">
        <f t="shared" ref="V34" si="33">+V19</f>
        <v>84504</v>
      </c>
    </row>
    <row r="35" spans="1:22">
      <c r="A35" s="180" t="s">
        <v>165</v>
      </c>
      <c r="B35" s="180"/>
      <c r="C35" s="153">
        <f>+C34*C33</f>
        <v>7803.1833870833343</v>
      </c>
      <c r="D35" s="209">
        <f>((+D34+D36)+(D17*D26))*D33</f>
        <v>8752.2796120833355</v>
      </c>
      <c r="E35" s="153">
        <f>+E34*E33</f>
        <v>9091.5484550000001</v>
      </c>
      <c r="F35" s="153">
        <f>+F34*F33</f>
        <v>8142.4522300000008</v>
      </c>
      <c r="G35" s="170">
        <f>ROUND(+G34*G33,0)</f>
        <v>8613</v>
      </c>
      <c r="H35" s="217">
        <v>8613</v>
      </c>
      <c r="I35" s="170">
        <f>ROUND(+I34*I33,0)</f>
        <v>8882</v>
      </c>
      <c r="K35" s="170">
        <f>ROUND(+K34*K33,0)</f>
        <v>8823</v>
      </c>
      <c r="L35" s="586">
        <f t="shared" ref="L35:P35" si="34">ROUND(+L34*L33,0)</f>
        <v>8954</v>
      </c>
      <c r="M35" s="609">
        <f t="shared" si="34"/>
        <v>9051</v>
      </c>
      <c r="N35" s="609">
        <f t="shared" si="34"/>
        <v>8967</v>
      </c>
      <c r="O35" s="609">
        <f>ROUND(+O34*O33,0)</f>
        <v>8882</v>
      </c>
      <c r="P35" s="609">
        <f t="shared" si="34"/>
        <v>9234</v>
      </c>
      <c r="Q35" s="139">
        <f>ROUND(+Q34*Q33,0)</f>
        <v>9295</v>
      </c>
      <c r="R35" s="586">
        <f t="shared" ref="R35:T35" si="35">ROUND(+R34*R33,0)</f>
        <v>9538</v>
      </c>
      <c r="S35" s="609">
        <f t="shared" si="35"/>
        <v>9000</v>
      </c>
      <c r="T35" s="609">
        <f t="shared" si="35"/>
        <v>8911</v>
      </c>
      <c r="U35" s="609">
        <f>ROUND(+U34*U33,0)</f>
        <v>8823</v>
      </c>
      <c r="V35" s="609">
        <f t="shared" ref="V35" si="36">ROUND(+V34*V33,0)</f>
        <v>9295</v>
      </c>
    </row>
    <row r="36" spans="1:22">
      <c r="A36" s="180" t="s">
        <v>192</v>
      </c>
      <c r="B36" s="180"/>
      <c r="C36" s="153">
        <f>+C31</f>
        <v>7681</v>
      </c>
      <c r="D36" s="153">
        <f>+D31</f>
        <v>8015</v>
      </c>
      <c r="E36" s="153">
        <f>+E31</f>
        <v>0</v>
      </c>
      <c r="F36" s="153">
        <f>+F31</f>
        <v>8015</v>
      </c>
      <c r="G36" s="170">
        <f>+G31</f>
        <v>7497</v>
      </c>
      <c r="H36" s="217">
        <v>5090</v>
      </c>
      <c r="I36" s="170">
        <f>+I31</f>
        <v>5121</v>
      </c>
      <c r="K36" s="170">
        <f>+K31</f>
        <v>7721</v>
      </c>
      <c r="L36" s="586">
        <f t="shared" ref="L36:P36" si="37">+L31</f>
        <v>7721</v>
      </c>
      <c r="M36" s="609">
        <f t="shared" si="37"/>
        <v>5121</v>
      </c>
      <c r="N36" s="609">
        <f t="shared" si="37"/>
        <v>5121</v>
      </c>
      <c r="O36" s="609">
        <f>+O31</f>
        <v>5121</v>
      </c>
      <c r="P36" s="609">
        <f t="shared" si="37"/>
        <v>5121</v>
      </c>
      <c r="Q36" s="139">
        <f>+Q31</f>
        <v>9805</v>
      </c>
      <c r="R36" s="586">
        <f t="shared" ref="R36:T36" si="38">+R31</f>
        <v>9805</v>
      </c>
      <c r="S36" s="609">
        <f t="shared" si="38"/>
        <v>9805</v>
      </c>
      <c r="T36" s="609">
        <f t="shared" si="38"/>
        <v>9805</v>
      </c>
      <c r="U36" s="609">
        <f>+U31</f>
        <v>9805</v>
      </c>
      <c r="V36" s="609">
        <f t="shared" ref="V36" si="39">+V31</f>
        <v>9805</v>
      </c>
    </row>
    <row r="37" spans="1:22">
      <c r="A37" s="458" t="s">
        <v>310</v>
      </c>
      <c r="B37" s="458"/>
      <c r="C37" s="459">
        <f t="shared" ref="C37:H37" si="40">+C35+C36</f>
        <v>15484.183387083334</v>
      </c>
      <c r="D37" s="459">
        <f t="shared" si="40"/>
        <v>16767.279612083337</v>
      </c>
      <c r="E37" s="459">
        <f t="shared" si="40"/>
        <v>9091.5484550000001</v>
      </c>
      <c r="F37" s="459">
        <f t="shared" si="40"/>
        <v>16157.452230000001</v>
      </c>
      <c r="G37" s="460">
        <f t="shared" si="40"/>
        <v>16110</v>
      </c>
      <c r="H37" s="647">
        <f t="shared" si="40"/>
        <v>13703</v>
      </c>
      <c r="I37" s="460">
        <f t="shared" ref="I37:Q37" si="41">+I35+I36</f>
        <v>14003</v>
      </c>
      <c r="K37" s="460">
        <f t="shared" ref="K37" si="42">+K35+K36</f>
        <v>16544</v>
      </c>
      <c r="L37" s="614">
        <f t="shared" si="41"/>
        <v>16675</v>
      </c>
      <c r="M37" s="610">
        <f t="shared" si="41"/>
        <v>14172</v>
      </c>
      <c r="N37" s="610">
        <f t="shared" si="41"/>
        <v>14088</v>
      </c>
      <c r="O37" s="610">
        <f t="shared" ref="O37" si="43">+O35+O36</f>
        <v>14003</v>
      </c>
      <c r="P37" s="610">
        <f t="shared" si="41"/>
        <v>14355</v>
      </c>
      <c r="Q37" s="631">
        <f t="shared" si="41"/>
        <v>19100</v>
      </c>
      <c r="R37" s="614">
        <f t="shared" ref="R37:V37" si="44">+R35+R36</f>
        <v>19343</v>
      </c>
      <c r="S37" s="610">
        <f t="shared" si="44"/>
        <v>18805</v>
      </c>
      <c r="T37" s="610">
        <f t="shared" si="44"/>
        <v>18716</v>
      </c>
      <c r="U37" s="610">
        <f t="shared" si="44"/>
        <v>18628</v>
      </c>
      <c r="V37" s="610">
        <f t="shared" si="44"/>
        <v>19100</v>
      </c>
    </row>
    <row r="38" spans="1:22">
      <c r="A38" s="180" t="s">
        <v>197</v>
      </c>
      <c r="B38" s="180"/>
      <c r="C38" s="454">
        <f>+C37/C34</f>
        <v>0.21827760390696258</v>
      </c>
      <c r="D38" s="454">
        <f>+D37/D34</f>
        <v>0.23636516865440033</v>
      </c>
      <c r="E38" s="454">
        <f>+E37/E34</f>
        <v>0.11</v>
      </c>
      <c r="F38" s="454">
        <f>+F37/F34</f>
        <v>0.2182781912740801</v>
      </c>
      <c r="G38" s="455">
        <f>+G37/G34</f>
        <v>0.20574349899233257</v>
      </c>
      <c r="H38" s="454"/>
      <c r="I38" s="455">
        <f>+I37/I34</f>
        <v>0.17342250294135861</v>
      </c>
      <c r="K38" s="455">
        <f>+K37/K34</f>
        <v>0.20625857125046751</v>
      </c>
      <c r="L38" s="615">
        <f t="shared" ref="L38:P38" si="45">+L37/L34</f>
        <v>0.20484503028143927</v>
      </c>
      <c r="M38" s="611">
        <f t="shared" si="45"/>
        <v>0.1722285686508033</v>
      </c>
      <c r="N38" s="611">
        <f t="shared" si="45"/>
        <v>0.17282708703919525</v>
      </c>
      <c r="O38" s="611">
        <f>+O37/O34</f>
        <v>0.17342250294135861</v>
      </c>
      <c r="P38" s="611">
        <f t="shared" si="45"/>
        <v>0.17101093612256082</v>
      </c>
      <c r="Q38" s="632">
        <f>+Q37/Q34</f>
        <v>0.22602480355959481</v>
      </c>
      <c r="R38" s="615">
        <f t="shared" ref="R38:T38" si="46">+R37/R34</f>
        <v>0.22306920530946917</v>
      </c>
      <c r="S38" s="611">
        <f t="shared" si="46"/>
        <v>0.22985063681032586</v>
      </c>
      <c r="T38" s="611">
        <f t="shared" si="46"/>
        <v>0.23102750209845455</v>
      </c>
      <c r="U38" s="611">
        <f>+U37/U34</f>
        <v>0.23224036903129286</v>
      </c>
      <c r="V38" s="611">
        <f t="shared" ref="V38" si="47">+V37/V34</f>
        <v>0.22602480355959481</v>
      </c>
    </row>
    <row r="39" spans="1:22">
      <c r="A39" s="180" t="s">
        <v>309</v>
      </c>
      <c r="B39" s="180"/>
      <c r="C39" s="454">
        <f>+C38/C35</f>
        <v>2.7972891713435705E-5</v>
      </c>
      <c r="D39" s="454">
        <f>+D38/D35</f>
        <v>2.7006126304291768E-5</v>
      </c>
      <c r="E39" s="454">
        <f>+E38/E35</f>
        <v>1.2099149066241214E-5</v>
      </c>
      <c r="F39" s="454">
        <f>+F38/F35</f>
        <v>2.6807426695100191E-5</v>
      </c>
      <c r="G39" s="455"/>
      <c r="H39" s="454"/>
      <c r="I39" s="628">
        <v>0.17499999999999999</v>
      </c>
      <c r="K39" s="628">
        <v>0.20499999999999999</v>
      </c>
      <c r="L39" s="593">
        <v>0.17499999999999999</v>
      </c>
      <c r="M39" s="612">
        <v>0.17499999999999999</v>
      </c>
      <c r="N39" s="612">
        <v>0.17499999999999999</v>
      </c>
      <c r="O39" s="612">
        <v>0.17499999999999999</v>
      </c>
      <c r="P39" s="612">
        <v>0.17499999999999999</v>
      </c>
      <c r="Q39" s="633">
        <v>0.22500000000000001</v>
      </c>
      <c r="R39" s="593">
        <v>0.22500000000000001</v>
      </c>
      <c r="S39" s="612">
        <v>0.23</v>
      </c>
      <c r="T39" s="612">
        <v>0.23</v>
      </c>
      <c r="U39" s="612">
        <v>0.20499999999999999</v>
      </c>
      <c r="V39" s="612">
        <v>0.22500000000000001</v>
      </c>
    </row>
    <row r="40" spans="1:22">
      <c r="A40" s="195" t="s">
        <v>193</v>
      </c>
      <c r="B40" s="456"/>
      <c r="C40" s="457"/>
      <c r="D40" s="457"/>
      <c r="E40" s="457"/>
      <c r="F40" s="457"/>
      <c r="G40" s="199">
        <f>+G37</f>
        <v>16110</v>
      </c>
      <c r="H40" s="457"/>
      <c r="I40" s="199">
        <f>ROUND(+I19*I39,0)</f>
        <v>14130</v>
      </c>
      <c r="K40" s="199">
        <f>ROUND(+K19*K39,0)</f>
        <v>16443</v>
      </c>
      <c r="L40" s="597">
        <f t="shared" ref="L40:P40" si="48">ROUND(+L19*L39,0)</f>
        <v>14246</v>
      </c>
      <c r="M40" s="607">
        <f t="shared" si="48"/>
        <v>14400</v>
      </c>
      <c r="N40" s="607">
        <f t="shared" si="48"/>
        <v>14265</v>
      </c>
      <c r="O40" s="607">
        <f>ROUND(+O19*O39,0)</f>
        <v>14130</v>
      </c>
      <c r="P40" s="607">
        <f t="shared" si="48"/>
        <v>14690</v>
      </c>
      <c r="Q40" s="146">
        <f>ROUND(+Q19*Q39,0)</f>
        <v>19013</v>
      </c>
      <c r="R40" s="597">
        <f t="shared" ref="R40:T40" si="49">ROUND(+R19*R39,0)</f>
        <v>19510</v>
      </c>
      <c r="S40" s="607">
        <f t="shared" si="49"/>
        <v>18817</v>
      </c>
      <c r="T40" s="607">
        <f t="shared" si="49"/>
        <v>18633</v>
      </c>
      <c r="U40" s="607">
        <f>ROUND(+U19*U39,0)</f>
        <v>16443</v>
      </c>
      <c r="V40" s="607">
        <f t="shared" ref="V40" si="50">ROUND(+V19*V39,0)</f>
        <v>19013</v>
      </c>
    </row>
    <row r="41" spans="1:22">
      <c r="A41" s="200"/>
      <c r="B41" s="200"/>
      <c r="C41" s="200"/>
      <c r="D41" s="200"/>
      <c r="E41" s="200"/>
      <c r="F41" s="200"/>
      <c r="G41" s="200"/>
      <c r="H41" s="200"/>
      <c r="I41" s="200"/>
      <c r="K41" s="200"/>
      <c r="L41" s="200"/>
      <c r="M41" s="200"/>
      <c r="N41" s="200"/>
      <c r="O41" s="200"/>
      <c r="P41" s="200"/>
      <c r="Q41" s="200"/>
      <c r="R41" s="200"/>
      <c r="S41" s="200"/>
      <c r="T41" s="200"/>
      <c r="U41" s="200"/>
      <c r="V41" s="200"/>
    </row>
    <row r="42" spans="1:22">
      <c r="A42" s="201" t="s">
        <v>196</v>
      </c>
      <c r="B42" s="166"/>
      <c r="C42" s="202"/>
      <c r="D42" s="202"/>
      <c r="E42" s="202"/>
      <c r="F42" s="203"/>
      <c r="G42" s="167"/>
      <c r="H42" s="203"/>
      <c r="I42" s="167"/>
      <c r="K42" s="167"/>
      <c r="L42" s="585"/>
      <c r="M42" s="598"/>
      <c r="N42" s="598"/>
      <c r="O42" s="598"/>
      <c r="P42" s="598"/>
      <c r="Q42" s="138"/>
      <c r="R42" s="585"/>
      <c r="S42" s="598"/>
      <c r="T42" s="598"/>
      <c r="U42" s="598"/>
      <c r="V42" s="598"/>
    </row>
    <row r="43" spans="1:22">
      <c r="A43" s="180" t="s">
        <v>534</v>
      </c>
      <c r="B43" s="180"/>
      <c r="C43" s="212">
        <v>0.03</v>
      </c>
      <c r="D43" s="212">
        <v>0.03</v>
      </c>
      <c r="E43" s="212">
        <v>0.03</v>
      </c>
      <c r="F43" s="213">
        <v>0.03</v>
      </c>
      <c r="G43" s="419">
        <v>2.5000000000000001E-2</v>
      </c>
      <c r="H43" s="213">
        <v>2.5000000000000001E-2</v>
      </c>
      <c r="I43" s="419">
        <v>1.4999999999999999E-2</v>
      </c>
      <c r="K43" s="419">
        <v>1.4999999999999999E-2</v>
      </c>
      <c r="L43" s="619">
        <v>1.4999999999999999E-2</v>
      </c>
      <c r="M43" s="616">
        <v>1.4999999999999999E-2</v>
      </c>
      <c r="N43" s="616">
        <v>1.4999999999999999E-2</v>
      </c>
      <c r="O43" s="616">
        <v>1.4999999999999999E-2</v>
      </c>
      <c r="P43" s="616">
        <v>1.4999999999999999E-2</v>
      </c>
      <c r="Q43" s="423">
        <v>1.4999999999999999E-2</v>
      </c>
      <c r="R43" s="620">
        <f>+$Q43</f>
        <v>1.4999999999999999E-2</v>
      </c>
      <c r="S43" s="620">
        <f t="shared" ref="S43:V44" si="51">+$Q43</f>
        <v>1.4999999999999999E-2</v>
      </c>
      <c r="T43" s="620">
        <f t="shared" si="51"/>
        <v>1.4999999999999999E-2</v>
      </c>
      <c r="U43" s="620">
        <f t="shared" si="51"/>
        <v>1.4999999999999999E-2</v>
      </c>
      <c r="V43" s="620">
        <f t="shared" si="51"/>
        <v>1.4999999999999999E-2</v>
      </c>
    </row>
    <row r="44" spans="1:22">
      <c r="A44" s="180" t="s">
        <v>535</v>
      </c>
      <c r="B44" s="180"/>
      <c r="C44" s="212">
        <v>3.0000000000000001E-3</v>
      </c>
      <c r="D44" s="212">
        <v>3.0000000000000001E-3</v>
      </c>
      <c r="E44" s="212">
        <v>3.0000000000000001E-3</v>
      </c>
      <c r="F44" s="213">
        <v>3.0000000000000001E-3</v>
      </c>
      <c r="G44" s="419">
        <v>2E-3</v>
      </c>
      <c r="H44" s="213">
        <v>2E-3</v>
      </c>
      <c r="I44" s="419">
        <v>7.0000000000000001E-3</v>
      </c>
      <c r="K44" s="419">
        <v>7.0000000000000001E-3</v>
      </c>
      <c r="L44" s="619">
        <v>7.0000000000000001E-3</v>
      </c>
      <c r="M44" s="616">
        <v>7.0000000000000001E-3</v>
      </c>
      <c r="N44" s="616">
        <v>7.0000000000000001E-3</v>
      </c>
      <c r="O44" s="616">
        <v>7.0000000000000001E-3</v>
      </c>
      <c r="P44" s="616">
        <v>7.0000000000000001E-3</v>
      </c>
      <c r="Q44" s="423">
        <v>7.0000000000000001E-3</v>
      </c>
      <c r="R44" s="620">
        <f>+$Q44</f>
        <v>7.0000000000000001E-3</v>
      </c>
      <c r="S44" s="620">
        <f t="shared" si="51"/>
        <v>7.0000000000000001E-3</v>
      </c>
      <c r="T44" s="620">
        <f t="shared" si="51"/>
        <v>7.0000000000000001E-3</v>
      </c>
      <c r="U44" s="620">
        <f t="shared" si="51"/>
        <v>7.0000000000000001E-3</v>
      </c>
      <c r="V44" s="620">
        <f t="shared" si="51"/>
        <v>7.0000000000000001E-3</v>
      </c>
    </row>
    <row r="45" spans="1:22" hidden="1">
      <c r="A45" s="180" t="s">
        <v>168</v>
      </c>
      <c r="B45" s="180"/>
      <c r="C45" s="212">
        <v>7.0000000000000001E-3</v>
      </c>
      <c r="D45" s="212">
        <v>7.0000000000000001E-3</v>
      </c>
      <c r="E45" s="212">
        <v>7.0000000000000001E-3</v>
      </c>
      <c r="F45" s="213">
        <v>7.0000000000000001E-3</v>
      </c>
      <c r="G45" s="419">
        <v>7.0000000000000001E-3</v>
      </c>
      <c r="H45" s="213">
        <v>7.0000000000000001E-3</v>
      </c>
      <c r="I45" s="419">
        <v>7.0000000000000001E-3</v>
      </c>
      <c r="J45" s="136" t="s">
        <v>365</v>
      </c>
      <c r="K45" s="419">
        <v>0</v>
      </c>
      <c r="L45" s="619">
        <v>0</v>
      </c>
      <c r="M45" s="616">
        <v>0</v>
      </c>
      <c r="N45" s="616">
        <v>0</v>
      </c>
      <c r="O45" s="616">
        <v>0</v>
      </c>
      <c r="P45" s="616">
        <v>0</v>
      </c>
      <c r="Q45" s="423">
        <v>0</v>
      </c>
      <c r="R45" s="619">
        <v>0</v>
      </c>
      <c r="S45" s="616">
        <v>0</v>
      </c>
      <c r="T45" s="616">
        <v>0</v>
      </c>
      <c r="U45" s="616">
        <v>0</v>
      </c>
      <c r="V45" s="616">
        <v>0</v>
      </c>
    </row>
    <row r="46" spans="1:22">
      <c r="A46" s="180" t="s">
        <v>536</v>
      </c>
      <c r="B46" s="180"/>
      <c r="C46" s="214">
        <f t="shared" ref="C46:H46" si="52">+C43+C44+C45</f>
        <v>0.04</v>
      </c>
      <c r="D46" s="214">
        <f t="shared" si="52"/>
        <v>0.04</v>
      </c>
      <c r="E46" s="214">
        <f t="shared" si="52"/>
        <v>0.04</v>
      </c>
      <c r="F46" s="215">
        <f t="shared" si="52"/>
        <v>0.04</v>
      </c>
      <c r="G46" s="420">
        <f t="shared" si="52"/>
        <v>3.4000000000000002E-2</v>
      </c>
      <c r="H46" s="215">
        <f t="shared" si="52"/>
        <v>3.4000000000000002E-2</v>
      </c>
      <c r="I46" s="420">
        <f t="shared" ref="I46:Q46" si="53">+I43+I44+I45</f>
        <v>2.8999999999999998E-2</v>
      </c>
      <c r="K46" s="420">
        <f t="shared" ref="K46" si="54">+K43+K44+K45</f>
        <v>2.1999999999999999E-2</v>
      </c>
      <c r="L46" s="620">
        <f t="shared" si="53"/>
        <v>2.1999999999999999E-2</v>
      </c>
      <c r="M46" s="617">
        <f t="shared" si="53"/>
        <v>2.1999999999999999E-2</v>
      </c>
      <c r="N46" s="617">
        <f t="shared" si="53"/>
        <v>2.1999999999999999E-2</v>
      </c>
      <c r="O46" s="617">
        <f t="shared" ref="O46" si="55">+O43+O44+O45</f>
        <v>2.1999999999999999E-2</v>
      </c>
      <c r="P46" s="617">
        <f t="shared" si="53"/>
        <v>2.1999999999999999E-2</v>
      </c>
      <c r="Q46" s="424">
        <f t="shared" si="53"/>
        <v>2.1999999999999999E-2</v>
      </c>
      <c r="R46" s="620">
        <f t="shared" ref="R46:V46" si="56">+R43+R44+R45</f>
        <v>2.1999999999999999E-2</v>
      </c>
      <c r="S46" s="617">
        <f t="shared" si="56"/>
        <v>2.1999999999999999E-2</v>
      </c>
      <c r="T46" s="617">
        <f t="shared" si="56"/>
        <v>2.1999999999999999E-2</v>
      </c>
      <c r="U46" s="617">
        <f t="shared" si="56"/>
        <v>2.1999999999999999E-2</v>
      </c>
      <c r="V46" s="617">
        <f t="shared" si="56"/>
        <v>2.1999999999999999E-2</v>
      </c>
    </row>
    <row r="47" spans="1:22">
      <c r="A47" s="180" t="s">
        <v>194</v>
      </c>
      <c r="B47" s="180"/>
      <c r="C47" s="153">
        <f t="shared" ref="C47:H47" si="57">+C19</f>
        <v>70938.030791666679</v>
      </c>
      <c r="D47" s="153">
        <f t="shared" si="57"/>
        <v>70938.030791666679</v>
      </c>
      <c r="E47" s="153">
        <f t="shared" si="57"/>
        <v>82650.440499999997</v>
      </c>
      <c r="F47" s="208">
        <f t="shared" si="57"/>
        <v>74022.293000000005</v>
      </c>
      <c r="G47" s="170">
        <f t="shared" si="57"/>
        <v>78301.380499999999</v>
      </c>
      <c r="H47" s="208">
        <f t="shared" si="57"/>
        <v>78301.380499999999</v>
      </c>
      <c r="I47" s="170">
        <f t="shared" ref="I47:Q47" si="58">+I19</f>
        <v>80745</v>
      </c>
      <c r="K47" s="170">
        <f t="shared" ref="K47" si="59">+K19</f>
        <v>80210</v>
      </c>
      <c r="L47" s="586">
        <f t="shared" si="58"/>
        <v>81403</v>
      </c>
      <c r="M47" s="609">
        <f t="shared" si="58"/>
        <v>82286</v>
      </c>
      <c r="N47" s="609">
        <f t="shared" si="58"/>
        <v>81515</v>
      </c>
      <c r="O47" s="609">
        <f t="shared" ref="O47" si="60">+O19</f>
        <v>80745</v>
      </c>
      <c r="P47" s="609">
        <f t="shared" si="58"/>
        <v>83942</v>
      </c>
      <c r="Q47" s="139">
        <f t="shared" si="58"/>
        <v>84504</v>
      </c>
      <c r="R47" s="586">
        <f t="shared" ref="R47:V47" si="61">+R19</f>
        <v>86713</v>
      </c>
      <c r="S47" s="609">
        <f t="shared" si="61"/>
        <v>81814</v>
      </c>
      <c r="T47" s="609">
        <f t="shared" si="61"/>
        <v>81012</v>
      </c>
      <c r="U47" s="609">
        <f t="shared" si="61"/>
        <v>80210</v>
      </c>
      <c r="V47" s="609">
        <f t="shared" si="61"/>
        <v>84504</v>
      </c>
    </row>
    <row r="48" spans="1:22" ht="29" hidden="1">
      <c r="A48" s="216" t="s">
        <v>201</v>
      </c>
      <c r="B48" s="180"/>
      <c r="C48" s="153">
        <f>+C26</f>
        <v>7681</v>
      </c>
      <c r="D48" s="153">
        <f>+D26</f>
        <v>8015</v>
      </c>
      <c r="E48" s="217">
        <v>0</v>
      </c>
      <c r="F48" s="208">
        <f>+F26</f>
        <v>8015</v>
      </c>
      <c r="G48" s="413">
        <v>0</v>
      </c>
      <c r="H48" s="210">
        <v>0</v>
      </c>
      <c r="I48" s="413">
        <v>0</v>
      </c>
      <c r="K48" s="413">
        <v>0</v>
      </c>
      <c r="L48" s="621">
        <v>0</v>
      </c>
      <c r="M48" s="618">
        <v>0</v>
      </c>
      <c r="N48" s="618">
        <v>0</v>
      </c>
      <c r="O48" s="618">
        <v>0</v>
      </c>
      <c r="P48" s="618">
        <v>0</v>
      </c>
      <c r="Q48" s="220">
        <v>0</v>
      </c>
      <c r="R48" s="621">
        <v>0</v>
      </c>
      <c r="S48" s="618">
        <v>0</v>
      </c>
      <c r="T48" s="618">
        <v>0</v>
      </c>
      <c r="U48" s="618">
        <v>0</v>
      </c>
      <c r="V48" s="618">
        <v>0</v>
      </c>
    </row>
    <row r="49" spans="1:25" hidden="1">
      <c r="A49" s="216" t="s">
        <v>200</v>
      </c>
      <c r="B49" s="180"/>
      <c r="C49" s="153">
        <f>+C31*C17</f>
        <v>587.59649999999999</v>
      </c>
      <c r="D49" s="153">
        <f>+D31*D17</f>
        <v>613.14750000000004</v>
      </c>
      <c r="E49" s="153">
        <f>+E31*E17</f>
        <v>0</v>
      </c>
      <c r="F49" s="208">
        <f>+F31*F17</f>
        <v>613.14750000000004</v>
      </c>
      <c r="G49" s="170"/>
      <c r="H49" s="208"/>
      <c r="I49" s="170"/>
      <c r="K49" s="170"/>
      <c r="L49" s="586"/>
      <c r="M49" s="609"/>
      <c r="N49" s="609"/>
      <c r="O49" s="609"/>
      <c r="P49" s="609"/>
      <c r="Q49" s="139"/>
      <c r="R49" s="586"/>
      <c r="S49" s="609"/>
      <c r="T49" s="609"/>
      <c r="U49" s="609"/>
      <c r="V49" s="609"/>
    </row>
    <row r="50" spans="1:25" hidden="1">
      <c r="A50" s="150" t="s">
        <v>199</v>
      </c>
      <c r="B50" s="150"/>
      <c r="C50" s="151">
        <f t="shared" ref="C50:H50" si="62">SUM(C47:C49)</f>
        <v>79206.627291666679</v>
      </c>
      <c r="D50" s="151">
        <f t="shared" si="62"/>
        <v>79566.178291666685</v>
      </c>
      <c r="E50" s="151">
        <f t="shared" si="62"/>
        <v>82650.440499999997</v>
      </c>
      <c r="F50" s="152">
        <f t="shared" si="62"/>
        <v>82650.440500000012</v>
      </c>
      <c r="G50" s="170">
        <f t="shared" si="62"/>
        <v>78301.380499999999</v>
      </c>
      <c r="H50" s="152">
        <f t="shared" si="62"/>
        <v>78301.380499999999</v>
      </c>
      <c r="I50" s="170">
        <f t="shared" ref="I50:Q50" si="63">SUM(I47:I49)</f>
        <v>80745</v>
      </c>
      <c r="K50" s="170">
        <f t="shared" ref="K50" si="64">SUM(K47:K49)</f>
        <v>80210</v>
      </c>
      <c r="L50" s="586">
        <f t="shared" si="63"/>
        <v>81403</v>
      </c>
      <c r="M50" s="609">
        <f t="shared" si="63"/>
        <v>82286</v>
      </c>
      <c r="N50" s="609">
        <f t="shared" si="63"/>
        <v>81515</v>
      </c>
      <c r="O50" s="609">
        <f t="shared" ref="O50" si="65">SUM(O47:O49)</f>
        <v>80745</v>
      </c>
      <c r="P50" s="609">
        <f t="shared" si="63"/>
        <v>83942</v>
      </c>
      <c r="Q50" s="139">
        <f t="shared" si="63"/>
        <v>84504</v>
      </c>
      <c r="R50" s="586">
        <f t="shared" ref="R50:V50" si="66">SUM(R47:R49)</f>
        <v>86713</v>
      </c>
      <c r="S50" s="609">
        <f t="shared" si="66"/>
        <v>81814</v>
      </c>
      <c r="T50" s="609">
        <f t="shared" si="66"/>
        <v>81012</v>
      </c>
      <c r="U50" s="609">
        <f t="shared" si="66"/>
        <v>80210</v>
      </c>
      <c r="V50" s="609">
        <f t="shared" si="66"/>
        <v>84504</v>
      </c>
    </row>
    <row r="51" spans="1:25">
      <c r="A51" s="156" t="s">
        <v>198</v>
      </c>
      <c r="B51" s="156"/>
      <c r="C51" s="157">
        <f>+C50*C46</f>
        <v>3168.2650916666671</v>
      </c>
      <c r="D51" s="157">
        <f>+D50*D46+1</f>
        <v>3183.6471316666675</v>
      </c>
      <c r="E51" s="157">
        <f>+E50*E46+1</f>
        <v>3307.0176200000001</v>
      </c>
      <c r="F51" s="158">
        <f>+F50*F46+1</f>
        <v>3307.0176200000005</v>
      </c>
      <c r="G51" s="199">
        <f>ROUND(+G50*G46,0)</f>
        <v>2662</v>
      </c>
      <c r="H51" s="199">
        <f>ROUND(+H50*H46,0)</f>
        <v>2662</v>
      </c>
      <c r="I51" s="199">
        <f>ROUND(+I50*I46,0)</f>
        <v>2342</v>
      </c>
      <c r="K51" s="199">
        <f>ROUND(+K50*K46,0)</f>
        <v>1765</v>
      </c>
      <c r="L51" s="597">
        <f t="shared" ref="L51:P51" si="67">ROUND(+L50*L46,0)</f>
        <v>1791</v>
      </c>
      <c r="M51" s="607">
        <f t="shared" si="67"/>
        <v>1810</v>
      </c>
      <c r="N51" s="607">
        <f t="shared" si="67"/>
        <v>1793</v>
      </c>
      <c r="O51" s="607">
        <f>ROUND(+O50*O46,0)</f>
        <v>1776</v>
      </c>
      <c r="P51" s="607">
        <f t="shared" si="67"/>
        <v>1847</v>
      </c>
      <c r="Q51" s="146">
        <f>ROUND(+Q50*Q46,0)</f>
        <v>1859</v>
      </c>
      <c r="R51" s="597">
        <f t="shared" ref="R51:T51" si="68">ROUND(+R50*R46,0)</f>
        <v>1908</v>
      </c>
      <c r="S51" s="607">
        <f t="shared" si="68"/>
        <v>1800</v>
      </c>
      <c r="T51" s="607">
        <f t="shared" si="68"/>
        <v>1782</v>
      </c>
      <c r="U51" s="607">
        <f>ROUND(+U50*U46,0)</f>
        <v>1765</v>
      </c>
      <c r="V51" s="607">
        <f t="shared" ref="V51" si="69">ROUND(+V50*V46,0)</f>
        <v>1859</v>
      </c>
    </row>
    <row r="52" spans="1:25">
      <c r="D52" s="143"/>
      <c r="E52" s="143"/>
      <c r="G52" s="200"/>
      <c r="I52" s="200"/>
      <c r="K52" s="200"/>
    </row>
    <row r="53" spans="1:25">
      <c r="A53" s="147" t="s">
        <v>103</v>
      </c>
      <c r="B53" s="148"/>
      <c r="C53" s="159"/>
      <c r="D53" s="159"/>
      <c r="E53" s="159"/>
      <c r="F53" s="160"/>
      <c r="G53" s="412"/>
      <c r="H53" s="159"/>
      <c r="I53" s="412"/>
      <c r="K53" s="412"/>
      <c r="L53" s="622"/>
      <c r="M53" s="622"/>
      <c r="N53" s="622"/>
      <c r="O53" s="622"/>
      <c r="P53" s="622"/>
      <c r="Q53" s="219"/>
      <c r="R53" s="622"/>
      <c r="S53" s="622"/>
      <c r="T53" s="622"/>
      <c r="U53" s="622"/>
      <c r="V53" s="622"/>
    </row>
    <row r="54" spans="1:25">
      <c r="A54" s="150" t="s">
        <v>203</v>
      </c>
      <c r="B54" s="150"/>
      <c r="C54" s="154">
        <v>1500</v>
      </c>
      <c r="D54" s="154">
        <v>1500</v>
      </c>
      <c r="E54" s="154">
        <v>1500</v>
      </c>
      <c r="F54" s="155">
        <v>1500</v>
      </c>
      <c r="G54" s="413">
        <v>1500</v>
      </c>
      <c r="H54" s="154">
        <v>1500</v>
      </c>
      <c r="I54" s="413">
        <v>1500</v>
      </c>
      <c r="K54" s="413">
        <v>1500</v>
      </c>
      <c r="L54" s="621">
        <v>1500</v>
      </c>
      <c r="M54" s="621">
        <v>1500</v>
      </c>
      <c r="N54" s="621">
        <v>1500</v>
      </c>
      <c r="O54" s="621">
        <v>1500</v>
      </c>
      <c r="P54" s="621">
        <v>1500</v>
      </c>
      <c r="Q54" s="220">
        <v>1500</v>
      </c>
      <c r="R54" s="793">
        <f>+$Q54</f>
        <v>1500</v>
      </c>
      <c r="S54" s="793">
        <f t="shared" ref="S54:V55" si="70">+$Q54</f>
        <v>1500</v>
      </c>
      <c r="T54" s="793">
        <f t="shared" si="70"/>
        <v>1500</v>
      </c>
      <c r="U54" s="793">
        <f t="shared" si="70"/>
        <v>1500</v>
      </c>
      <c r="V54" s="793">
        <f t="shared" si="70"/>
        <v>1500</v>
      </c>
    </row>
    <row r="55" spans="1:25">
      <c r="A55" s="150" t="s">
        <v>537</v>
      </c>
      <c r="B55" s="150"/>
      <c r="C55" s="154">
        <v>1000</v>
      </c>
      <c r="D55" s="154">
        <v>1000</v>
      </c>
      <c r="E55" s="154">
        <v>1000</v>
      </c>
      <c r="F55" s="155">
        <v>1000</v>
      </c>
      <c r="G55" s="413">
        <v>1000</v>
      </c>
      <c r="H55" s="154">
        <v>700</v>
      </c>
      <c r="I55" s="413">
        <v>1000</v>
      </c>
      <c r="K55" s="413">
        <v>1000</v>
      </c>
      <c r="L55" s="621">
        <v>1000</v>
      </c>
      <c r="M55" s="621">
        <v>1000</v>
      </c>
      <c r="N55" s="621">
        <v>1000</v>
      </c>
      <c r="O55" s="621">
        <v>1000</v>
      </c>
      <c r="P55" s="621">
        <v>1000</v>
      </c>
      <c r="Q55" s="220">
        <v>1300</v>
      </c>
      <c r="R55" s="793">
        <f>+$Q55</f>
        <v>1300</v>
      </c>
      <c r="S55" s="793">
        <f t="shared" si="70"/>
        <v>1300</v>
      </c>
      <c r="T55" s="793">
        <f t="shared" si="70"/>
        <v>1300</v>
      </c>
      <c r="U55" s="793">
        <f t="shared" si="70"/>
        <v>1300</v>
      </c>
      <c r="V55" s="793">
        <f t="shared" si="70"/>
        <v>1300</v>
      </c>
    </row>
    <row r="56" spans="1:25">
      <c r="A56" s="150" t="s">
        <v>555</v>
      </c>
      <c r="B56" s="150"/>
      <c r="C56" s="154"/>
      <c r="D56" s="154"/>
      <c r="E56" s="154"/>
      <c r="F56" s="155"/>
      <c r="G56" s="413"/>
      <c r="H56" s="154"/>
      <c r="I56" s="413"/>
      <c r="K56" s="413"/>
      <c r="L56" s="621"/>
      <c r="M56" s="621"/>
      <c r="N56" s="621"/>
      <c r="O56" s="621"/>
      <c r="P56" s="621"/>
      <c r="Q56" s="220"/>
      <c r="R56" s="793"/>
      <c r="S56" s="793"/>
      <c r="T56" s="793"/>
      <c r="U56" s="793"/>
      <c r="V56" s="793"/>
    </row>
    <row r="57" spans="1:25">
      <c r="A57" s="150" t="s">
        <v>103</v>
      </c>
      <c r="B57" s="150"/>
      <c r="C57" s="154">
        <v>600</v>
      </c>
      <c r="D57" s="154">
        <v>600</v>
      </c>
      <c r="E57" s="154">
        <v>600</v>
      </c>
      <c r="F57" s="155">
        <v>600</v>
      </c>
      <c r="G57" s="413">
        <v>600</v>
      </c>
      <c r="H57" s="154">
        <v>600</v>
      </c>
      <c r="I57" s="413">
        <v>600</v>
      </c>
      <c r="K57" s="413">
        <v>600</v>
      </c>
      <c r="L57" s="621">
        <v>600</v>
      </c>
      <c r="M57" s="621">
        <v>600</v>
      </c>
      <c r="N57" s="621">
        <v>600</v>
      </c>
      <c r="O57" s="621">
        <v>600</v>
      </c>
      <c r="P57" s="621">
        <v>600</v>
      </c>
      <c r="Q57" s="220">
        <v>600</v>
      </c>
      <c r="R57" s="793">
        <f>+$Q57</f>
        <v>600</v>
      </c>
      <c r="S57" s="793">
        <f t="shared" ref="S57:V58" si="71">+$Q57</f>
        <v>600</v>
      </c>
      <c r="T57" s="793">
        <f t="shared" si="71"/>
        <v>600</v>
      </c>
      <c r="U57" s="793">
        <f t="shared" si="71"/>
        <v>600</v>
      </c>
      <c r="V57" s="793">
        <f t="shared" si="71"/>
        <v>600</v>
      </c>
    </row>
    <row r="58" spans="1:25">
      <c r="A58" s="180" t="s">
        <v>216</v>
      </c>
      <c r="B58" s="180"/>
      <c r="C58" s="181"/>
      <c r="D58" s="181"/>
      <c r="E58" s="181"/>
      <c r="F58" s="182"/>
      <c r="G58" s="413">
        <f>40*12</f>
        <v>480</v>
      </c>
      <c r="H58" s="646">
        <f>25*12</f>
        <v>300</v>
      </c>
      <c r="I58" s="413">
        <f>ROUND(40*12,0)</f>
        <v>480</v>
      </c>
      <c r="K58" s="413">
        <f>ROUND(40*12,0)</f>
        <v>480</v>
      </c>
      <c r="L58" s="621">
        <f t="shared" ref="L58:P58" si="72">ROUND(40*12,0)</f>
        <v>480</v>
      </c>
      <c r="M58" s="621">
        <f t="shared" si="72"/>
        <v>480</v>
      </c>
      <c r="N58" s="621">
        <f t="shared" si="72"/>
        <v>480</v>
      </c>
      <c r="O58" s="621">
        <f>ROUND(40*12,0)</f>
        <v>480</v>
      </c>
      <c r="P58" s="621">
        <f t="shared" si="72"/>
        <v>480</v>
      </c>
      <c r="Q58" s="220">
        <f>ROUND(40*12,0)</f>
        <v>480</v>
      </c>
      <c r="R58" s="793">
        <f>+$Q58</f>
        <v>480</v>
      </c>
      <c r="S58" s="793">
        <f t="shared" si="71"/>
        <v>480</v>
      </c>
      <c r="T58" s="793">
        <f t="shared" si="71"/>
        <v>480</v>
      </c>
      <c r="U58" s="793">
        <f t="shared" si="71"/>
        <v>480</v>
      </c>
      <c r="V58" s="793">
        <f t="shared" si="71"/>
        <v>480</v>
      </c>
    </row>
    <row r="59" spans="1:25">
      <c r="A59" s="161" t="s">
        <v>205</v>
      </c>
      <c r="B59" s="161"/>
      <c r="C59" s="162">
        <f t="shared" ref="C59:H59" si="73">+SUM(C54:C58)</f>
        <v>3100</v>
      </c>
      <c r="D59" s="162">
        <f t="shared" si="73"/>
        <v>3100</v>
      </c>
      <c r="E59" s="162">
        <f t="shared" si="73"/>
        <v>3100</v>
      </c>
      <c r="F59" s="163">
        <f t="shared" si="73"/>
        <v>3100</v>
      </c>
      <c r="G59" s="414">
        <f t="shared" si="73"/>
        <v>3580</v>
      </c>
      <c r="H59" s="162">
        <f t="shared" si="73"/>
        <v>3100</v>
      </c>
      <c r="I59" s="414">
        <f t="shared" ref="I59:P59" si="74">+SUM(I54:I58)</f>
        <v>3580</v>
      </c>
      <c r="K59" s="414">
        <f t="shared" ref="K59" si="75">+SUM(K54:K58)</f>
        <v>3580</v>
      </c>
      <c r="L59" s="623">
        <f t="shared" si="74"/>
        <v>3580</v>
      </c>
      <c r="M59" s="623">
        <f t="shared" si="74"/>
        <v>3580</v>
      </c>
      <c r="N59" s="623">
        <f t="shared" si="74"/>
        <v>3580</v>
      </c>
      <c r="O59" s="623">
        <f t="shared" ref="O59" si="76">+SUM(O54:O58)</f>
        <v>3580</v>
      </c>
      <c r="P59" s="623">
        <f t="shared" si="74"/>
        <v>3580</v>
      </c>
      <c r="Q59" s="221">
        <f t="shared" ref="Q59" si="77">+SUM(Q54:Q58)</f>
        <v>3880</v>
      </c>
      <c r="R59" s="623">
        <f t="shared" ref="R59:T59" si="78">+SUM(R54:R58)</f>
        <v>3880</v>
      </c>
      <c r="S59" s="623">
        <f t="shared" si="78"/>
        <v>3880</v>
      </c>
      <c r="T59" s="623">
        <f t="shared" si="78"/>
        <v>3880</v>
      </c>
      <c r="U59" s="623">
        <f t="shared" ref="U59" si="79">+SUM(U54:U58)</f>
        <v>3880</v>
      </c>
      <c r="V59" s="623">
        <f t="shared" ref="V59" si="80">+SUM(V54:V58)</f>
        <v>3880</v>
      </c>
    </row>
    <row r="60" spans="1:25" ht="7.5" customHeight="1" thickBot="1">
      <c r="G60" s="200"/>
      <c r="I60" s="181"/>
      <c r="K60" s="200"/>
    </row>
    <row r="61" spans="1:25" ht="15.5" thickTop="1" thickBot="1">
      <c r="A61" s="496" t="s">
        <v>204</v>
      </c>
      <c r="B61" s="820"/>
      <c r="C61" s="821">
        <f t="shared" ref="C61:I61" si="81">+C19+C37+C51+C59</f>
        <v>92690.479270416676</v>
      </c>
      <c r="D61" s="821">
        <f t="shared" si="81"/>
        <v>93988.957535416688</v>
      </c>
      <c r="E61" s="821">
        <f t="shared" si="81"/>
        <v>98149.006574999992</v>
      </c>
      <c r="F61" s="822">
        <f t="shared" si="81"/>
        <v>96586.762849999999</v>
      </c>
      <c r="G61" s="823">
        <f t="shared" si="81"/>
        <v>100653.3805</v>
      </c>
      <c r="H61" s="821">
        <f t="shared" si="81"/>
        <v>97766.380499999999</v>
      </c>
      <c r="I61" s="823">
        <f t="shared" si="81"/>
        <v>100670</v>
      </c>
      <c r="J61" s="824"/>
      <c r="K61" s="823">
        <f t="shared" ref="K61:P61" si="82">+K19+K37+K51+K59</f>
        <v>102099</v>
      </c>
      <c r="L61" s="825">
        <f>+L19+L37+L51+L59</f>
        <v>103449</v>
      </c>
      <c r="M61" s="825">
        <f t="shared" si="82"/>
        <v>101848</v>
      </c>
      <c r="N61" s="825">
        <f t="shared" si="82"/>
        <v>100976</v>
      </c>
      <c r="O61" s="825">
        <f t="shared" si="82"/>
        <v>100104</v>
      </c>
      <c r="P61" s="825">
        <f t="shared" si="82"/>
        <v>103724</v>
      </c>
      <c r="Q61" s="826">
        <f>+Q19+Q40+Q51+Q59</f>
        <v>109256</v>
      </c>
      <c r="R61" s="819">
        <f>+R19+R40+R51+R59</f>
        <v>112011</v>
      </c>
      <c r="S61" s="624">
        <f>+S19+S40+S51+S59</f>
        <v>106311</v>
      </c>
      <c r="T61" s="624">
        <f t="shared" ref="T61:V61" si="83">+T19+T40+T51+T59</f>
        <v>105307</v>
      </c>
      <c r="U61" s="624">
        <f t="shared" si="83"/>
        <v>102298</v>
      </c>
      <c r="V61" s="624">
        <f t="shared" si="83"/>
        <v>109256</v>
      </c>
      <c r="Y61" s="818"/>
    </row>
    <row r="62" spans="1:25" ht="15" thickTop="1">
      <c r="A62" s="224" t="s">
        <v>282</v>
      </c>
      <c r="B62" s="224"/>
      <c r="C62" s="211"/>
      <c r="D62" s="211"/>
      <c r="E62" s="211"/>
      <c r="F62" s="211"/>
      <c r="G62" s="211"/>
      <c r="H62" s="211"/>
      <c r="I62" s="211">
        <f>+I61-G61</f>
        <v>16.619500000000698</v>
      </c>
      <c r="K62" s="211">
        <f>+K61-I61</f>
        <v>1429</v>
      </c>
      <c r="L62" s="211">
        <f>+L61-K61</f>
        <v>1350</v>
      </c>
      <c r="M62" s="211">
        <f>+M61-O61</f>
        <v>1744</v>
      </c>
      <c r="N62" s="211">
        <f>+N61-O61</f>
        <v>872</v>
      </c>
      <c r="O62" s="211"/>
      <c r="P62" s="211">
        <f>+P61-O61</f>
        <v>3620</v>
      </c>
      <c r="Q62" s="211">
        <f>+Q61-$K61</f>
        <v>7157</v>
      </c>
      <c r="R62" s="211">
        <f t="shared" ref="R62:V62" si="84">+R61-$K61</f>
        <v>9912</v>
      </c>
      <c r="S62" s="211">
        <f t="shared" si="84"/>
        <v>4212</v>
      </c>
      <c r="T62" s="211">
        <f t="shared" si="84"/>
        <v>3208</v>
      </c>
      <c r="U62" s="211">
        <f t="shared" si="84"/>
        <v>199</v>
      </c>
      <c r="V62" s="211">
        <f t="shared" si="84"/>
        <v>7157</v>
      </c>
    </row>
    <row r="63" spans="1:25">
      <c r="A63" s="224"/>
      <c r="B63" s="224"/>
      <c r="C63" s="211"/>
      <c r="D63" s="211"/>
      <c r="E63" s="211"/>
      <c r="F63" s="211"/>
      <c r="G63" s="211"/>
      <c r="H63" s="211"/>
      <c r="I63" s="405">
        <f>+I62/G61</f>
        <v>1.6511616318739237E-4</v>
      </c>
      <c r="J63" s="45"/>
      <c r="K63" s="626">
        <f>+K62/I61</f>
        <v>1.4194894208801033E-2</v>
      </c>
      <c r="L63" s="626">
        <f>+L62/O61</f>
        <v>1.3485974586430112E-2</v>
      </c>
      <c r="M63" s="626">
        <f>+M62/O61</f>
        <v>1.7421881243506753E-2</v>
      </c>
      <c r="N63" s="626">
        <f>+N62/O61</f>
        <v>8.7109406217533766E-3</v>
      </c>
      <c r="O63" s="405"/>
      <c r="P63" s="626">
        <f>+P62/O61</f>
        <v>3.616239111324223E-2</v>
      </c>
      <c r="Q63" s="626">
        <f>+Q62/$K61</f>
        <v>7.0098629761310108E-2</v>
      </c>
      <c r="R63" s="626">
        <f t="shared" ref="R63:V63" si="85">+R62/$K61</f>
        <v>9.7082243704639609E-2</v>
      </c>
      <c r="S63" s="626">
        <f t="shared" si="85"/>
        <v>4.1254076925337176E-2</v>
      </c>
      <c r="T63" s="626">
        <f t="shared" si="85"/>
        <v>3.142048404000039E-2</v>
      </c>
      <c r="U63" s="626">
        <f t="shared" si="85"/>
        <v>1.949088629663366E-3</v>
      </c>
      <c r="V63" s="626">
        <f t="shared" si="85"/>
        <v>7.0098629761310108E-2</v>
      </c>
    </row>
    <row r="64" spans="1:25" hidden="1">
      <c r="A64" s="303"/>
      <c r="B64" s="303"/>
      <c r="C64" s="303" t="s">
        <v>207</v>
      </c>
      <c r="D64" s="303"/>
      <c r="E64" s="303"/>
      <c r="F64" s="303"/>
      <c r="G64" s="303"/>
      <c r="H64" s="404"/>
    </row>
    <row r="65" spans="1:22" hidden="1">
      <c r="A65" s="863" t="s">
        <v>208</v>
      </c>
      <c r="B65" s="223"/>
      <c r="C65" s="145">
        <f>+C61-C18</f>
        <v>87649.365145416668</v>
      </c>
      <c r="D65" s="145">
        <f>+D61-D18</f>
        <v>88947.843410416681</v>
      </c>
      <c r="E65" s="145">
        <f>+E61-E18</f>
        <v>92275.566074999995</v>
      </c>
      <c r="F65" s="145">
        <f>+F61-F18</f>
        <v>91326.469849999994</v>
      </c>
      <c r="G65" s="303"/>
      <c r="H65" s="404"/>
    </row>
    <row r="66" spans="1:22">
      <c r="A66" s="303"/>
      <c r="G66" s="222"/>
      <c r="I66" s="222"/>
      <c r="K66" s="222"/>
      <c r="L66" s="222"/>
      <c r="M66" s="222"/>
      <c r="N66" s="222"/>
      <c r="O66" s="222"/>
      <c r="P66" s="222"/>
      <c r="Q66" s="222"/>
      <c r="R66" s="222"/>
      <c r="S66" s="222"/>
      <c r="T66" s="222"/>
      <c r="U66" s="222"/>
      <c r="V66" s="222"/>
    </row>
    <row r="67" spans="1:22" ht="18.5">
      <c r="A67" s="864" t="s">
        <v>557</v>
      </c>
    </row>
    <row r="68" spans="1:22" ht="32" customHeight="1" thickBot="1">
      <c r="A68" s="845"/>
      <c r="Q68" s="845"/>
    </row>
    <row r="69" spans="1:22">
      <c r="A69" s="843" t="s">
        <v>559</v>
      </c>
      <c r="Q69" s="846" t="s">
        <v>558</v>
      </c>
    </row>
    <row r="71" spans="1:22" ht="32" customHeight="1" thickBot="1">
      <c r="A71" s="845"/>
      <c r="Q71" s="845"/>
    </row>
    <row r="72" spans="1:22">
      <c r="A72" s="843" t="s">
        <v>560</v>
      </c>
      <c r="Q72" s="846" t="s">
        <v>558</v>
      </c>
    </row>
    <row r="74" spans="1:22" ht="32" customHeight="1" thickBot="1">
      <c r="A74" s="845"/>
      <c r="Q74" s="845"/>
    </row>
    <row r="75" spans="1:22">
      <c r="A75" s="843" t="s">
        <v>561</v>
      </c>
      <c r="Q75" s="846" t="s">
        <v>558</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7.xml><?xml version="1.0" encoding="utf-8"?>
<worksheet xmlns="http://schemas.openxmlformats.org/spreadsheetml/2006/main" xmlns:r="http://schemas.openxmlformats.org/officeDocument/2006/relationships">
  <dimension ref="B2:G17"/>
  <sheetViews>
    <sheetView workbookViewId="0">
      <selection activeCell="D16" sqref="D16"/>
    </sheetView>
  </sheetViews>
  <sheetFormatPr defaultRowHeight="14.5"/>
  <cols>
    <col min="2" max="2" width="23.08984375" customWidth="1"/>
    <col min="3" max="5" width="11.54296875" customWidth="1"/>
    <col min="6" max="6" width="18.08984375" customWidth="1"/>
    <col min="7" max="7" width="12.6328125" customWidth="1"/>
  </cols>
  <sheetData>
    <row r="2" spans="2:7">
      <c r="B2" t="s">
        <v>348</v>
      </c>
    </row>
    <row r="3" spans="2:7" ht="58">
      <c r="C3" s="574" t="s">
        <v>358</v>
      </c>
      <c r="D3" s="574" t="s">
        <v>359</v>
      </c>
      <c r="E3" s="574"/>
      <c r="F3" s="575" t="s">
        <v>357</v>
      </c>
      <c r="G3" s="574" t="s">
        <v>355</v>
      </c>
    </row>
    <row r="4" spans="2:7">
      <c r="B4">
        <v>2018</v>
      </c>
      <c r="C4" s="576">
        <f>52894+15868</f>
        <v>68762</v>
      </c>
      <c r="D4" s="576">
        <f>52894+15868</f>
        <v>68762</v>
      </c>
      <c r="E4" s="576" t="s">
        <v>351</v>
      </c>
      <c r="F4" s="580">
        <f>52894+15868</f>
        <v>68762</v>
      </c>
      <c r="G4" s="577">
        <f>+F4-D4</f>
        <v>0</v>
      </c>
    </row>
    <row r="6" spans="2:7">
      <c r="B6" t="s">
        <v>349</v>
      </c>
      <c r="C6" s="577">
        <f>+ROUND(C4*(1+0.02),2)</f>
        <v>70137.240000000005</v>
      </c>
      <c r="D6" s="579">
        <v>71240</v>
      </c>
      <c r="E6" s="579" t="s">
        <v>352</v>
      </c>
      <c r="F6" s="580">
        <v>70137</v>
      </c>
      <c r="G6" s="577">
        <f>+F6-D6</f>
        <v>-1103</v>
      </c>
    </row>
    <row r="7" spans="2:7">
      <c r="C7" s="578">
        <f>(+C6-C4)/C4</f>
        <v>2.0000000000000077E-2</v>
      </c>
      <c r="D7" s="578">
        <f>(+D6-D4)/D4</f>
        <v>3.6037346208661759E-2</v>
      </c>
      <c r="E7" s="578"/>
    </row>
    <row r="8" spans="2:7">
      <c r="C8" s="578"/>
      <c r="D8" s="578"/>
      <c r="E8" s="578"/>
    </row>
    <row r="9" spans="2:7">
      <c r="B9" t="s">
        <v>350</v>
      </c>
      <c r="C9" s="577">
        <f>+ROUND(C6*(1+0.02),2)</f>
        <v>71539.98</v>
      </c>
      <c r="D9" s="579">
        <v>73783</v>
      </c>
      <c r="E9" s="579" t="s">
        <v>353</v>
      </c>
      <c r="F9" s="580">
        <v>71540</v>
      </c>
      <c r="G9" s="577">
        <f>+F9-D9</f>
        <v>-2243</v>
      </c>
    </row>
    <row r="10" spans="2:7">
      <c r="C10" s="578">
        <f>(+C9-C6)/C6</f>
        <v>1.9999931562747417E-2</v>
      </c>
      <c r="D10" s="578">
        <f>(+D9-D6)/D6</f>
        <v>3.5696238068500842E-2</v>
      </c>
      <c r="E10" s="578"/>
    </row>
    <row r="11" spans="2:7">
      <c r="C11" s="577"/>
      <c r="D11" s="577"/>
      <c r="E11" s="577"/>
    </row>
    <row r="12" spans="2:7">
      <c r="B12" t="s">
        <v>356</v>
      </c>
      <c r="C12" s="577">
        <f>+ROUND(C9*(1+0.01),2)</f>
        <v>72255.38</v>
      </c>
      <c r="D12" s="579">
        <v>75618</v>
      </c>
      <c r="E12" s="579" t="s">
        <v>354</v>
      </c>
      <c r="F12" s="581">
        <f>+F9*(1+0.01)</f>
        <v>72255.399999999994</v>
      </c>
      <c r="G12" s="581">
        <f>+D12-F9</f>
        <v>4078</v>
      </c>
    </row>
    <row r="13" spans="2:7">
      <c r="C13" s="578">
        <f>(+C12-C9)/C9</f>
        <v>1.0000002795639708E-2</v>
      </c>
      <c r="D13" s="578">
        <f>(+D12-D9)/D9</f>
        <v>2.4870227559193853E-2</v>
      </c>
      <c r="E13" s="578"/>
      <c r="F13" s="578">
        <f>(+F12-F9)/F9</f>
        <v>9.9999999999999187E-3</v>
      </c>
      <c r="G13" s="578">
        <f>+G12/F9</f>
        <v>5.7003075202683814E-2</v>
      </c>
    </row>
    <row r="16" spans="2:7">
      <c r="D16" s="577"/>
      <c r="F16" s="582">
        <f>2000/F9</f>
        <v>2.7956388034665922E-2</v>
      </c>
    </row>
    <row r="17" spans="4:4">
      <c r="D17" s="577"/>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sheetPr>
    <pageSetUpPr fitToPage="1"/>
  </sheetPr>
  <dimension ref="A1:S66"/>
  <sheetViews>
    <sheetView showGridLines="0" topLeftCell="A4" workbookViewId="0">
      <selection activeCell="N26" sqref="N26"/>
    </sheetView>
  </sheetViews>
  <sheetFormatPr defaultRowHeight="14.5"/>
  <cols>
    <col min="1" max="1" width="10" style="136" customWidth="1"/>
    <col min="2" max="2" width="38.453125" style="136" customWidth="1"/>
    <col min="3" max="3" width="13.90625" style="200" hidden="1" customWidth="1"/>
    <col min="4" max="4" width="13.90625" style="136" hidden="1" customWidth="1"/>
    <col min="5" max="5" width="13.90625" style="136" customWidth="1"/>
    <col min="6" max="6" width="0" style="136" hidden="1" customWidth="1"/>
    <col min="7" max="7" width="9.81640625" style="136" hidden="1" customWidth="1"/>
    <col min="8" max="8" width="11.90625" style="136" hidden="1" customWidth="1"/>
    <col min="9" max="10" width="13.90625" style="136" customWidth="1"/>
    <col min="11" max="11" width="10.453125" style="136" bestFit="1" customWidth="1"/>
    <col min="12" max="12" width="11.453125" style="136" customWidth="1"/>
    <col min="13" max="13" width="15.1796875" style="136" customWidth="1"/>
    <col min="14" max="16384" width="8.7265625" style="136"/>
  </cols>
  <sheetData>
    <row r="1" spans="1:19" ht="21">
      <c r="A1" s="980" t="s">
        <v>347</v>
      </c>
      <c r="B1" s="980"/>
      <c r="C1" s="980"/>
      <c r="D1" s="980"/>
      <c r="E1" s="980"/>
      <c r="F1" s="980"/>
      <c r="G1" s="980"/>
      <c r="H1" s="980"/>
      <c r="I1" s="980"/>
      <c r="J1" s="980"/>
      <c r="K1" s="980"/>
      <c r="L1" s="980"/>
      <c r="M1" s="980"/>
    </row>
    <row r="2" spans="1:19" s="814" customFormat="1" ht="10" customHeight="1">
      <c r="B2" s="815"/>
      <c r="C2" s="816"/>
      <c r="D2" s="816"/>
      <c r="E2" s="817"/>
      <c r="I2" s="816"/>
      <c r="J2" s="816"/>
    </row>
    <row r="3" spans="1:19" ht="29.5" customHeight="1">
      <c r="C3" s="436" t="s">
        <v>341</v>
      </c>
      <c r="D3" s="410" t="s">
        <v>281</v>
      </c>
      <c r="E3" s="629" t="s">
        <v>463</v>
      </c>
      <c r="G3" s="791"/>
      <c r="H3" s="792"/>
      <c r="I3" s="218" t="s">
        <v>458</v>
      </c>
      <c r="J3" s="830" t="s">
        <v>360</v>
      </c>
      <c r="K3" s="988" t="str">
        <f>"To Buy Back one week of vacation is $"&amp;ROUND(+J11/52,0)&amp;" per week"</f>
        <v>To Buy Back one week of vacation is $1291 per week</v>
      </c>
      <c r="L3" s="989"/>
      <c r="M3" s="989"/>
    </row>
    <row r="4" spans="1:19" ht="14.5" customHeight="1">
      <c r="A4" s="995" t="s">
        <v>344</v>
      </c>
      <c r="B4" s="443" t="s">
        <v>38</v>
      </c>
      <c r="C4" s="437">
        <f>+C6-C5</f>
        <v>40802</v>
      </c>
      <c r="D4" s="437">
        <f>+D6-D5</f>
        <v>40802</v>
      </c>
      <c r="E4" s="170">
        <f>+E6-E5</f>
        <v>42687</v>
      </c>
      <c r="F4" s="1001" t="s">
        <v>464</v>
      </c>
      <c r="G4" s="1002"/>
      <c r="H4" s="1003"/>
      <c r="I4" s="409">
        <f>+I11-I5</f>
        <v>44553</v>
      </c>
      <c r="J4" s="847">
        <f>+J6-J5</f>
        <v>47135</v>
      </c>
      <c r="K4" s="1004" t="str">
        <f>"For 2022, 9 years of experience plus a COLA 5% per ELCA quidelines = "&amp;ROUND((+I11-E11)/E11,3)*100&amp;"% increase due to elected vacation purchase."</f>
        <v>For 2022, 9 years of experience plus a COLA 5% per ELCA quidelines = 3% increase due to elected vacation purchase.</v>
      </c>
      <c r="L4" s="1005"/>
      <c r="M4" s="1005"/>
    </row>
    <row r="5" spans="1:19" ht="15" thickBot="1">
      <c r="A5" s="996"/>
      <c r="B5" s="168" t="s">
        <v>161</v>
      </c>
      <c r="C5" s="175">
        <f>ROUND(+C6*0.3,0)</f>
        <v>17487</v>
      </c>
      <c r="D5" s="175">
        <f>ROUND(+D6*0.3,0)</f>
        <v>17487</v>
      </c>
      <c r="E5" s="440">
        <v>20000</v>
      </c>
      <c r="F5" s="1001"/>
      <c r="G5" s="1002"/>
      <c r="H5" s="1003"/>
      <c r="I5" s="421">
        <v>20000</v>
      </c>
      <c r="J5" s="848">
        <v>20000</v>
      </c>
      <c r="K5" s="1004"/>
      <c r="L5" s="1005"/>
      <c r="M5" s="1005"/>
    </row>
    <row r="6" spans="1:19" ht="14.5" hidden="1" customHeight="1">
      <c r="A6" s="996"/>
      <c r="B6" s="168" t="s">
        <v>162</v>
      </c>
      <c r="C6" s="438">
        <v>58289</v>
      </c>
      <c r="D6" s="438">
        <v>58289</v>
      </c>
      <c r="E6" s="179">
        <f>+ROUND((62066*1.01),0)</f>
        <v>62687</v>
      </c>
      <c r="F6" s="1001"/>
      <c r="G6" s="1002"/>
      <c r="H6" s="1003"/>
      <c r="I6" s="408"/>
      <c r="J6" s="625">
        <v>67135</v>
      </c>
      <c r="K6" s="1004"/>
      <c r="L6" s="1005"/>
      <c r="M6" s="1005"/>
    </row>
    <row r="7" spans="1:19" ht="5.5" hidden="1" customHeight="1">
      <c r="A7" s="996"/>
      <c r="B7" s="180"/>
      <c r="C7" s="173"/>
      <c r="D7" s="173"/>
      <c r="E7" s="173"/>
      <c r="F7" s="1001"/>
      <c r="G7" s="1002"/>
      <c r="H7" s="1003"/>
      <c r="I7" s="140"/>
      <c r="J7" s="587"/>
      <c r="K7" s="1004"/>
      <c r="L7" s="1005"/>
      <c r="M7" s="1005"/>
      <c r="N7" s="181"/>
      <c r="O7" s="181"/>
      <c r="P7" s="181"/>
      <c r="Q7" s="181"/>
      <c r="R7" s="181"/>
      <c r="S7" s="181"/>
    </row>
    <row r="8" spans="1:19" ht="14.5" hidden="1" customHeight="1">
      <c r="A8" s="996"/>
      <c r="B8" s="168" t="s">
        <v>172</v>
      </c>
      <c r="C8" s="439">
        <v>1</v>
      </c>
      <c r="D8" s="439">
        <v>0.5</v>
      </c>
      <c r="E8" s="439">
        <v>1</v>
      </c>
      <c r="F8" s="1001"/>
      <c r="G8" s="1002"/>
      <c r="H8" s="1003"/>
      <c r="I8" s="406">
        <v>1</v>
      </c>
      <c r="J8" s="849">
        <v>1</v>
      </c>
      <c r="K8" s="1004"/>
      <c r="L8" s="1005"/>
      <c r="M8" s="1005"/>
      <c r="N8" s="181"/>
      <c r="O8" s="181"/>
      <c r="P8" s="181"/>
      <c r="Q8" s="181"/>
      <c r="R8" s="181"/>
      <c r="S8" s="181"/>
    </row>
    <row r="9" spans="1:19" ht="14.5" hidden="1" customHeight="1">
      <c r="A9" s="996"/>
      <c r="B9" s="180"/>
      <c r="C9" s="173"/>
      <c r="D9" s="173"/>
      <c r="E9" s="173"/>
      <c r="F9" s="1001"/>
      <c r="G9" s="1002"/>
      <c r="H9" s="1003"/>
      <c r="I9" s="140"/>
      <c r="J9" s="587"/>
      <c r="K9" s="1004"/>
      <c r="L9" s="1005"/>
      <c r="M9" s="1005"/>
      <c r="N9" s="181"/>
      <c r="O9" s="181"/>
      <c r="P9" s="181"/>
      <c r="Q9" s="181"/>
      <c r="R9" s="181"/>
      <c r="S9" s="181"/>
    </row>
    <row r="10" spans="1:19" ht="14.5" hidden="1" customHeight="1">
      <c r="A10" s="996"/>
      <c r="B10" s="168" t="s">
        <v>185</v>
      </c>
      <c r="C10" s="419">
        <v>0</v>
      </c>
      <c r="D10" s="419">
        <v>0</v>
      </c>
      <c r="E10" s="186">
        <v>0</v>
      </c>
      <c r="F10" s="1001"/>
      <c r="G10" s="1002"/>
      <c r="H10" s="1003"/>
      <c r="I10" s="423">
        <v>0</v>
      </c>
      <c r="J10" s="619">
        <v>0</v>
      </c>
      <c r="K10" s="1004"/>
      <c r="L10" s="1005"/>
      <c r="M10" s="1005"/>
      <c r="N10" s="181"/>
      <c r="O10" s="181"/>
      <c r="P10" s="181"/>
      <c r="Q10" s="181"/>
      <c r="R10" s="181"/>
      <c r="S10" s="181"/>
    </row>
    <row r="11" spans="1:19">
      <c r="A11" s="996"/>
      <c r="B11" s="187" t="s">
        <v>183</v>
      </c>
      <c r="C11" s="411">
        <f>ROUND(+C6*(1+C10)*C8,0)</f>
        <v>58289</v>
      </c>
      <c r="D11" s="411">
        <f>ROUND(+D6*(1+D10)*D8,0)</f>
        <v>29145</v>
      </c>
      <c r="E11" s="567">
        <f>ROUND(+E6*(1+E10)*E8,0)</f>
        <v>62687</v>
      </c>
      <c r="F11" s="1001"/>
      <c r="G11" s="1002"/>
      <c r="H11" s="1003"/>
      <c r="I11" s="144">
        <f>ROUND((+J6*(1+I10)*I8)-((J6/52)*2),0)</f>
        <v>64553</v>
      </c>
      <c r="J11" s="594">
        <f>ROUND((+J6*(1+J10)*J8),0)</f>
        <v>67135</v>
      </c>
      <c r="K11" s="1004"/>
      <c r="L11" s="1005"/>
      <c r="M11" s="1005"/>
      <c r="N11" s="122"/>
      <c r="O11" s="209"/>
      <c r="P11" s="181"/>
      <c r="Q11" s="181"/>
      <c r="R11" s="181"/>
      <c r="S11" s="181"/>
    </row>
    <row r="12" spans="1:19" ht="7.5" customHeight="1">
      <c r="A12" s="996"/>
      <c r="B12" s="1006" t="s">
        <v>343</v>
      </c>
      <c r="C12" s="173"/>
      <c r="D12" s="173"/>
      <c r="E12" s="173"/>
      <c r="I12" s="140"/>
      <c r="J12" s="587"/>
      <c r="L12" s="181"/>
      <c r="M12" s="181"/>
      <c r="N12" s="122"/>
      <c r="O12" s="181"/>
      <c r="P12" s="181"/>
      <c r="Q12" s="181"/>
      <c r="R12" s="181"/>
      <c r="S12" s="181"/>
    </row>
    <row r="13" spans="1:19" ht="17" customHeight="1">
      <c r="A13" s="996"/>
      <c r="B13" s="1006"/>
      <c r="C13" s="192">
        <f>+C27</f>
        <v>0</v>
      </c>
      <c r="D13" s="192">
        <f>+D27</f>
        <v>0</v>
      </c>
      <c r="E13" s="192">
        <f>+E27</f>
        <v>2400</v>
      </c>
      <c r="I13" s="135">
        <f>+I27</f>
        <v>2400</v>
      </c>
      <c r="J13" s="595">
        <f>+J27</f>
        <v>2400</v>
      </c>
      <c r="K13" s="181"/>
      <c r="L13" s="1077"/>
      <c r="M13" s="1077"/>
      <c r="N13" s="123"/>
      <c r="O13" s="181"/>
      <c r="P13" s="181"/>
      <c r="Q13" s="181"/>
      <c r="R13" s="181"/>
      <c r="S13" s="181"/>
    </row>
    <row r="14" spans="1:19" ht="8" customHeight="1" thickBot="1">
      <c r="A14" s="996"/>
      <c r="B14" s="1006"/>
      <c r="C14" s="173"/>
      <c r="D14" s="173"/>
      <c r="E14" s="173"/>
      <c r="I14" s="140"/>
      <c r="J14" s="587"/>
      <c r="K14" s="1078"/>
      <c r="L14" s="1078"/>
      <c r="M14" s="1078"/>
      <c r="N14" s="566"/>
      <c r="O14" s="181"/>
      <c r="P14" s="181"/>
      <c r="Q14" s="181"/>
      <c r="R14" s="181"/>
      <c r="S14" s="181"/>
    </row>
    <row r="15" spans="1:19">
      <c r="A15" s="996"/>
      <c r="B15" s="187" t="s">
        <v>183</v>
      </c>
      <c r="C15" s="411">
        <f>+C11+C13</f>
        <v>58289</v>
      </c>
      <c r="D15" s="411">
        <f>+D11+D13</f>
        <v>29145</v>
      </c>
      <c r="E15" s="567">
        <f>+E11+E13</f>
        <v>65087</v>
      </c>
      <c r="I15" s="144">
        <f>+I11+I13</f>
        <v>66953</v>
      </c>
      <c r="J15" s="889">
        <f>+J11+J13</f>
        <v>69535</v>
      </c>
      <c r="K15" s="1007" t="s">
        <v>594</v>
      </c>
      <c r="L15" s="1008"/>
      <c r="M15" s="1009"/>
      <c r="N15" s="204"/>
      <c r="O15" s="181"/>
      <c r="P15" s="181"/>
      <c r="Q15" s="181"/>
      <c r="R15" s="181"/>
      <c r="S15" s="181"/>
    </row>
    <row r="16" spans="1:19" ht="6.5" customHeight="1">
      <c r="A16" s="996"/>
      <c r="B16" s="180"/>
      <c r="C16" s="173"/>
      <c r="D16" s="173"/>
      <c r="E16" s="173"/>
      <c r="I16" s="140"/>
      <c r="J16" s="888"/>
      <c r="K16" s="1010"/>
      <c r="L16" s="1011"/>
      <c r="M16" s="1012"/>
      <c r="N16" s="181"/>
      <c r="O16" s="181"/>
      <c r="P16" s="181"/>
      <c r="Q16" s="181"/>
      <c r="R16" s="181"/>
      <c r="S16" s="181"/>
    </row>
    <row r="17" spans="1:19">
      <c r="A17" s="996"/>
      <c r="B17" s="180" t="s">
        <v>538</v>
      </c>
      <c r="C17" s="194">
        <v>7.6499999999999999E-2</v>
      </c>
      <c r="D17" s="194">
        <v>7.6499999999999999E-2</v>
      </c>
      <c r="E17" s="449">
        <v>7.6499999999999999E-2</v>
      </c>
      <c r="F17" s="998" t="s">
        <v>346</v>
      </c>
      <c r="G17" s="999"/>
      <c r="H17" s="1000"/>
      <c r="I17" s="635">
        <v>7.6499999999999999E-2</v>
      </c>
      <c r="J17" s="890">
        <v>7.6499999999999999E-2</v>
      </c>
      <c r="K17" s="1010"/>
      <c r="L17" s="1011"/>
      <c r="M17" s="1012"/>
      <c r="N17" s="122"/>
      <c r="O17" s="181"/>
      <c r="P17" s="181"/>
      <c r="Q17" s="181"/>
      <c r="R17" s="181"/>
      <c r="S17" s="181"/>
    </row>
    <row r="18" spans="1:19">
      <c r="A18" s="996"/>
      <c r="B18" s="180" t="s">
        <v>296</v>
      </c>
      <c r="C18" s="192">
        <f>ROUND(+C15*C17,0)</f>
        <v>4459</v>
      </c>
      <c r="D18" s="192">
        <f>ROUND(+D15*D17,0)</f>
        <v>2230</v>
      </c>
      <c r="E18" s="192">
        <f>ROUND(+E15*E17,0)</f>
        <v>4979</v>
      </c>
      <c r="F18" s="143"/>
      <c r="I18" s="135">
        <f>ROUND(+I15*I17,0)</f>
        <v>5122</v>
      </c>
      <c r="J18" s="887">
        <f>ROUND(+J15*J17,0)</f>
        <v>5319</v>
      </c>
      <c r="K18" s="1010"/>
      <c r="L18" s="1011"/>
      <c r="M18" s="1012"/>
      <c r="N18" s="181"/>
      <c r="O18" s="181"/>
      <c r="P18" s="181"/>
      <c r="Q18" s="181"/>
      <c r="R18" s="181"/>
      <c r="S18" s="181"/>
    </row>
    <row r="19" spans="1:19" ht="21" customHeight="1" thickBot="1">
      <c r="A19" s="997"/>
      <c r="B19" s="195" t="s">
        <v>186</v>
      </c>
      <c r="C19" s="199">
        <f>+C15+C18</f>
        <v>62748</v>
      </c>
      <c r="D19" s="199">
        <f>+D15+D18</f>
        <v>31375</v>
      </c>
      <c r="E19" s="199">
        <f>+E15+E18</f>
        <v>70066</v>
      </c>
      <c r="I19" s="146">
        <f>+I15+I18</f>
        <v>72075</v>
      </c>
      <c r="J19" s="891">
        <f>+J15+J18</f>
        <v>74854</v>
      </c>
      <c r="K19" s="1013"/>
      <c r="L19" s="1014"/>
      <c r="M19" s="1015"/>
      <c r="N19" s="181"/>
      <c r="O19" s="181"/>
      <c r="P19" s="181"/>
      <c r="Q19" s="181"/>
      <c r="R19" s="181"/>
      <c r="S19" s="181"/>
    </row>
    <row r="20" spans="1:19" ht="8.5" customHeight="1">
      <c r="B20" s="200"/>
      <c r="D20" s="200"/>
      <c r="E20" s="200"/>
      <c r="I20" s="200"/>
      <c r="J20" s="200"/>
      <c r="K20" s="181"/>
      <c r="L20" s="181"/>
      <c r="M20" s="181"/>
      <c r="N20" s="181"/>
      <c r="O20" s="181"/>
      <c r="P20" s="181"/>
      <c r="Q20" s="181"/>
      <c r="R20" s="181"/>
      <c r="S20" s="181"/>
    </row>
    <row r="21" spans="1:19">
      <c r="A21" s="995" t="s">
        <v>189</v>
      </c>
      <c r="B21" s="166" t="s">
        <v>187</v>
      </c>
      <c r="C21" s="571">
        <f>ROUND(22025*C8,0)</f>
        <v>22025</v>
      </c>
      <c r="D21" s="571">
        <f>ROUND(C21*D$8,0)</f>
        <v>11013</v>
      </c>
      <c r="E21" s="572">
        <v>6000</v>
      </c>
      <c r="I21" s="787">
        <v>6000</v>
      </c>
      <c r="J21" s="850">
        <v>6000</v>
      </c>
      <c r="K21" s="181"/>
      <c r="L21" s="181"/>
      <c r="M21" s="181"/>
      <c r="N21" s="181"/>
      <c r="O21" s="181"/>
      <c r="P21" s="181"/>
      <c r="Q21" s="181"/>
      <c r="R21" s="181"/>
      <c r="S21" s="181"/>
    </row>
    <row r="22" spans="1:19">
      <c r="A22" s="996"/>
      <c r="B22" s="180" t="s">
        <v>209</v>
      </c>
      <c r="C22" s="173"/>
      <c r="D22" s="130"/>
      <c r="E22" s="416">
        <v>0</v>
      </c>
      <c r="I22" s="634">
        <v>0</v>
      </c>
      <c r="J22" s="599">
        <v>0</v>
      </c>
      <c r="K22" s="181"/>
      <c r="L22" s="181"/>
      <c r="M22" s="181"/>
      <c r="N22" s="181"/>
      <c r="O22" s="181"/>
      <c r="P22" s="181"/>
      <c r="Q22" s="181"/>
      <c r="R22" s="181"/>
      <c r="S22" s="181"/>
    </row>
    <row r="23" spans="1:19">
      <c r="A23" s="996"/>
      <c r="B23" s="188" t="s">
        <v>189</v>
      </c>
      <c r="C23" s="173"/>
      <c r="D23" s="133"/>
      <c r="E23" s="417">
        <f>+E21+E22</f>
        <v>6000</v>
      </c>
      <c r="I23" s="636">
        <f>+I21+I22</f>
        <v>6000</v>
      </c>
      <c r="J23" s="604">
        <f>+J21+J22</f>
        <v>6000</v>
      </c>
      <c r="K23" s="181"/>
      <c r="L23" s="181"/>
      <c r="M23" s="181"/>
      <c r="N23" s="181"/>
      <c r="O23" s="181"/>
      <c r="P23" s="181"/>
      <c r="Q23" s="181"/>
      <c r="R23" s="181"/>
      <c r="S23" s="181"/>
    </row>
    <row r="24" spans="1:19" ht="6.5" customHeight="1">
      <c r="A24" s="996"/>
      <c r="B24" s="180"/>
      <c r="C24" s="173"/>
      <c r="D24" s="182"/>
      <c r="E24" s="173"/>
      <c r="I24" s="140"/>
      <c r="J24" s="587"/>
      <c r="K24" s="181"/>
      <c r="L24" s="181"/>
      <c r="M24" s="181"/>
      <c r="N24" s="181"/>
      <c r="O24" s="181"/>
      <c r="P24" s="181"/>
      <c r="Q24" s="181"/>
      <c r="R24" s="181"/>
      <c r="S24" s="181"/>
    </row>
    <row r="25" spans="1:19">
      <c r="A25" s="996"/>
      <c r="B25" s="180" t="s">
        <v>308</v>
      </c>
      <c r="C25" s="173"/>
      <c r="D25" s="130"/>
      <c r="E25" s="416">
        <v>1800</v>
      </c>
      <c r="I25" s="634">
        <v>1800</v>
      </c>
      <c r="J25" s="599">
        <v>1800</v>
      </c>
      <c r="K25" s="181"/>
      <c r="L25" s="181"/>
      <c r="M25" s="181"/>
      <c r="N25" s="181"/>
      <c r="O25" s="181"/>
      <c r="P25" s="181"/>
      <c r="Q25" s="181"/>
      <c r="R25" s="181"/>
      <c r="S25" s="181"/>
    </row>
    <row r="26" spans="1:19">
      <c r="A26" s="996"/>
      <c r="B26" s="180" t="s">
        <v>532</v>
      </c>
      <c r="C26" s="173"/>
      <c r="D26" s="784"/>
      <c r="E26" s="449">
        <v>0.25</v>
      </c>
      <c r="F26" s="143"/>
      <c r="I26" s="635">
        <v>0.25</v>
      </c>
      <c r="J26" s="602">
        <v>0.25</v>
      </c>
      <c r="K26" s="181"/>
      <c r="L26" s="181"/>
      <c r="M26" s="181"/>
      <c r="N26" s="181"/>
      <c r="O26" s="181"/>
      <c r="P26" s="181"/>
      <c r="Q26" s="181"/>
      <c r="R26" s="181"/>
      <c r="S26" s="181"/>
    </row>
    <row r="27" spans="1:19">
      <c r="A27" s="996"/>
      <c r="B27" s="188" t="s">
        <v>342</v>
      </c>
      <c r="C27" s="453">
        <v>0</v>
      </c>
      <c r="D27" s="452">
        <v>0</v>
      </c>
      <c r="E27" s="417">
        <f>ROUND(+E25/(1-E26),0)</f>
        <v>2400</v>
      </c>
      <c r="F27" s="143"/>
      <c r="I27" s="636">
        <f>ROUND(+I25/(1-I26),0)</f>
        <v>2400</v>
      </c>
      <c r="J27" s="604">
        <f>ROUND(+J25/(1-J26),0)</f>
        <v>2400</v>
      </c>
      <c r="K27" s="181"/>
      <c r="L27" s="181"/>
      <c r="M27" s="181"/>
      <c r="N27" s="181"/>
      <c r="O27" s="181"/>
      <c r="P27" s="181"/>
      <c r="Q27" s="181"/>
      <c r="R27" s="181"/>
      <c r="S27" s="181"/>
    </row>
    <row r="28" spans="1:19">
      <c r="A28" s="997"/>
      <c r="B28" s="195" t="s">
        <v>190</v>
      </c>
      <c r="C28" s="568">
        <v>0</v>
      </c>
      <c r="D28" s="785">
        <v>0</v>
      </c>
      <c r="E28" s="199">
        <f>+E23-E25</f>
        <v>4200</v>
      </c>
      <c r="I28" s="146">
        <f>+I23-I25</f>
        <v>4200</v>
      </c>
      <c r="J28" s="597">
        <f>+J23-J25</f>
        <v>4200</v>
      </c>
      <c r="K28" s="181"/>
      <c r="L28" s="181"/>
      <c r="M28" s="181"/>
      <c r="N28" s="181"/>
      <c r="O28" s="181"/>
      <c r="P28" s="181"/>
      <c r="Q28" s="181"/>
      <c r="R28" s="181"/>
      <c r="S28" s="181"/>
    </row>
    <row r="29" spans="1:19" ht="7" customHeight="1">
      <c r="B29" s="200"/>
      <c r="D29" s="200"/>
      <c r="E29" s="200"/>
      <c r="I29" s="200"/>
      <c r="J29" s="200"/>
      <c r="K29" s="181"/>
      <c r="L29" s="181"/>
      <c r="M29" s="181"/>
      <c r="N29" s="181"/>
      <c r="O29" s="181"/>
      <c r="P29" s="181"/>
      <c r="Q29" s="181"/>
      <c r="R29" s="181"/>
      <c r="S29" s="181"/>
    </row>
    <row r="30" spans="1:19">
      <c r="A30" s="995" t="s">
        <v>165</v>
      </c>
      <c r="B30" s="201" t="s">
        <v>533</v>
      </c>
      <c r="C30" s="441">
        <v>0.1</v>
      </c>
      <c r="D30" s="441">
        <v>0.1</v>
      </c>
      <c r="E30" s="418">
        <v>0.1</v>
      </c>
      <c r="I30" s="630">
        <v>0.1</v>
      </c>
      <c r="J30" s="613">
        <v>0.1</v>
      </c>
      <c r="K30" s="181"/>
      <c r="L30" s="181"/>
      <c r="M30" s="181"/>
      <c r="N30" s="181"/>
      <c r="O30" s="181"/>
      <c r="P30" s="181"/>
      <c r="Q30" s="181"/>
      <c r="R30" s="181"/>
      <c r="S30" s="181"/>
    </row>
    <row r="31" spans="1:19">
      <c r="A31" s="996"/>
      <c r="B31" s="180" t="s">
        <v>194</v>
      </c>
      <c r="C31" s="170">
        <f>+C19</f>
        <v>62748</v>
      </c>
      <c r="D31" s="170">
        <f>+D19</f>
        <v>31375</v>
      </c>
      <c r="E31" s="442">
        <f>+E19</f>
        <v>70066</v>
      </c>
      <c r="I31" s="426">
        <f>+I19</f>
        <v>72075</v>
      </c>
      <c r="J31" s="793">
        <f>+J19</f>
        <v>74854</v>
      </c>
      <c r="K31" s="181"/>
      <c r="L31" s="181"/>
      <c r="M31" s="181"/>
      <c r="N31" s="181"/>
      <c r="O31" s="181"/>
      <c r="P31" s="181"/>
      <c r="Q31" s="181"/>
      <c r="R31" s="181"/>
      <c r="S31" s="181"/>
    </row>
    <row r="32" spans="1:19">
      <c r="A32" s="996"/>
      <c r="B32" s="180" t="s">
        <v>165</v>
      </c>
      <c r="C32" s="170">
        <f>ROUND(+C31*C30,0)</f>
        <v>6275</v>
      </c>
      <c r="D32" s="170">
        <f>ROUND(+D31*D30,0)</f>
        <v>3138</v>
      </c>
      <c r="E32" s="442">
        <f>ROUND(+E31*E30,0)</f>
        <v>7007</v>
      </c>
      <c r="I32" s="426">
        <f>ROUND(+I31*I30,0)</f>
        <v>7208</v>
      </c>
      <c r="J32" s="793">
        <f>ROUND(+J31*J30,0)</f>
        <v>7485</v>
      </c>
    </row>
    <row r="33" spans="1:10">
      <c r="A33" s="996"/>
      <c r="B33" s="180" t="s">
        <v>192</v>
      </c>
      <c r="C33" s="170">
        <f>+C28</f>
        <v>0</v>
      </c>
      <c r="D33" s="170">
        <f>+D28</f>
        <v>0</v>
      </c>
      <c r="E33" s="442">
        <f>+E28</f>
        <v>4200</v>
      </c>
      <c r="I33" s="426">
        <f>+I28</f>
        <v>4200</v>
      </c>
      <c r="J33" s="793">
        <f>+J28</f>
        <v>4200</v>
      </c>
    </row>
    <row r="34" spans="1:10">
      <c r="A34" s="996"/>
      <c r="B34" s="180" t="s">
        <v>310</v>
      </c>
      <c r="C34" s="170"/>
      <c r="D34" s="170"/>
      <c r="E34" s="442">
        <f>+E33+E32</f>
        <v>11207</v>
      </c>
      <c r="I34" s="426">
        <f>+I33+I32</f>
        <v>11408</v>
      </c>
      <c r="J34" s="793">
        <f>+J33+J32</f>
        <v>11685</v>
      </c>
    </row>
    <row r="35" spans="1:10">
      <c r="A35" s="996"/>
      <c r="B35" s="180" t="s">
        <v>197</v>
      </c>
      <c r="C35" s="861">
        <f>+C37/C31</f>
        <v>0.10000318735258494</v>
      </c>
      <c r="D35" s="861">
        <f>+D37/D31</f>
        <v>0.10001593625498008</v>
      </c>
      <c r="E35" s="627">
        <f>+E34/E19</f>
        <v>0.15994919076299488</v>
      </c>
      <c r="I35" s="448">
        <f>+I34/I19</f>
        <v>0.15827956989247313</v>
      </c>
      <c r="J35" s="592">
        <f>+J34/J19</f>
        <v>0.15610388222406285</v>
      </c>
    </row>
    <row r="36" spans="1:10">
      <c r="A36" s="996"/>
      <c r="B36" s="180" t="s">
        <v>309</v>
      </c>
      <c r="C36" s="170"/>
      <c r="D36" s="170"/>
      <c r="E36" s="628">
        <v>0.16</v>
      </c>
      <c r="I36" s="633">
        <v>0.16</v>
      </c>
      <c r="J36" s="593">
        <v>0.155</v>
      </c>
    </row>
    <row r="37" spans="1:10">
      <c r="A37" s="997"/>
      <c r="B37" s="195" t="s">
        <v>193</v>
      </c>
      <c r="C37" s="199">
        <f t="shared" ref="C37" si="0">+C32+C33</f>
        <v>6275</v>
      </c>
      <c r="D37" s="199">
        <f t="shared" ref="D37" si="1">+D32+D33</f>
        <v>3138</v>
      </c>
      <c r="E37" s="414">
        <f>ROUND(+E36*E19,0)</f>
        <v>11211</v>
      </c>
      <c r="I37" s="221">
        <f>ROUND(+I36*I19,0)</f>
        <v>11532</v>
      </c>
      <c r="J37" s="623">
        <f>ROUND(+J36*J19,0)</f>
        <v>11602</v>
      </c>
    </row>
    <row r="38" spans="1:10" ht="7" customHeight="1">
      <c r="B38" s="200"/>
      <c r="D38" s="200"/>
      <c r="E38" s="200"/>
      <c r="I38" s="200"/>
      <c r="J38" s="200"/>
    </row>
    <row r="39" spans="1:10">
      <c r="A39" s="995" t="s">
        <v>166</v>
      </c>
      <c r="B39" s="166" t="s">
        <v>534</v>
      </c>
      <c r="C39" s="441">
        <v>1.4999999999999999E-2</v>
      </c>
      <c r="D39" s="441">
        <v>1.4999999999999999E-2</v>
      </c>
      <c r="E39" s="441">
        <v>1.4999999999999999E-2</v>
      </c>
      <c r="I39" s="422">
        <v>1.4999999999999999E-2</v>
      </c>
      <c r="J39" s="851">
        <v>1.4999999999999999E-2</v>
      </c>
    </row>
    <row r="40" spans="1:10">
      <c r="A40" s="996"/>
      <c r="B40" s="180" t="s">
        <v>535</v>
      </c>
      <c r="C40" s="419">
        <v>7.0000000000000001E-3</v>
      </c>
      <c r="D40" s="419">
        <v>7.0000000000000001E-3</v>
      </c>
      <c r="E40" s="419">
        <v>7.0000000000000001E-3</v>
      </c>
      <c r="I40" s="423">
        <v>7.0000000000000001E-3</v>
      </c>
      <c r="J40" s="619">
        <v>7.0000000000000001E-3</v>
      </c>
    </row>
    <row r="41" spans="1:10" hidden="1">
      <c r="A41" s="996"/>
      <c r="B41" s="180" t="s">
        <v>300</v>
      </c>
      <c r="C41" s="419">
        <v>7.0000000000000001E-3</v>
      </c>
      <c r="D41" s="419">
        <v>7.0000000000000001E-3</v>
      </c>
      <c r="E41" s="419">
        <v>0</v>
      </c>
      <c r="F41" s="992" t="s">
        <v>345</v>
      </c>
      <c r="G41" s="993"/>
      <c r="H41" s="994"/>
      <c r="I41" s="423">
        <v>0</v>
      </c>
      <c r="J41" s="619">
        <v>0</v>
      </c>
    </row>
    <row r="42" spans="1:10">
      <c r="A42" s="996"/>
      <c r="B42" s="180" t="s">
        <v>536</v>
      </c>
      <c r="C42" s="420">
        <f t="shared" ref="C42" si="2">+C39+C40+C41</f>
        <v>2.8999999999999998E-2</v>
      </c>
      <c r="D42" s="420">
        <f t="shared" ref="D42:E42" si="3">+D39+D40+D41</f>
        <v>2.8999999999999998E-2</v>
      </c>
      <c r="E42" s="420">
        <f t="shared" si="3"/>
        <v>2.1999999999999999E-2</v>
      </c>
      <c r="I42" s="424">
        <f t="shared" ref="I42:J42" si="4">+I39+I40+I41</f>
        <v>2.1999999999999999E-2</v>
      </c>
      <c r="J42" s="620">
        <f t="shared" si="4"/>
        <v>2.1999999999999999E-2</v>
      </c>
    </row>
    <row r="43" spans="1:10">
      <c r="A43" s="996"/>
      <c r="B43" s="180" t="s">
        <v>194</v>
      </c>
      <c r="C43" s="170">
        <f>+C19</f>
        <v>62748</v>
      </c>
      <c r="D43" s="170">
        <f>+D19</f>
        <v>31375</v>
      </c>
      <c r="E43" s="170">
        <f>+E19</f>
        <v>70066</v>
      </c>
      <c r="I43" s="139">
        <f>+I19</f>
        <v>72075</v>
      </c>
      <c r="J43" s="586">
        <f>+J19</f>
        <v>74854</v>
      </c>
    </row>
    <row r="44" spans="1:10">
      <c r="A44" s="997"/>
      <c r="B44" s="156" t="s">
        <v>198</v>
      </c>
      <c r="C44" s="199">
        <f>ROUND(+C43*C42,0)</f>
        <v>1820</v>
      </c>
      <c r="D44" s="199">
        <f>ROUND(+D43*D42,0)</f>
        <v>910</v>
      </c>
      <c r="E44" s="569">
        <f>ROUND(+E43*E42,0)</f>
        <v>1541</v>
      </c>
      <c r="I44" s="146">
        <f>ROUND(+I43*I42,0)</f>
        <v>1586</v>
      </c>
      <c r="J44" s="597">
        <f>ROUND(+J43*J42,0)</f>
        <v>1647</v>
      </c>
    </row>
    <row r="45" spans="1:10" ht="7.5" customHeight="1">
      <c r="D45" s="200"/>
    </row>
    <row r="46" spans="1:10">
      <c r="A46" s="995" t="s">
        <v>103</v>
      </c>
      <c r="B46" s="148" t="s">
        <v>203</v>
      </c>
      <c r="C46" s="573">
        <v>1200</v>
      </c>
      <c r="D46" s="786">
        <f>ROUND(C46*D$8,0)</f>
        <v>600</v>
      </c>
      <c r="E46" s="573">
        <v>1200</v>
      </c>
      <c r="I46" s="788">
        <v>1200</v>
      </c>
      <c r="J46" s="852">
        <v>1200</v>
      </c>
    </row>
    <row r="47" spans="1:10">
      <c r="A47" s="996"/>
      <c r="B47" s="150" t="s">
        <v>465</v>
      </c>
      <c r="C47" s="413">
        <v>750</v>
      </c>
      <c r="D47" s="442">
        <f>ROUND(C47*D$8,0)</f>
        <v>375</v>
      </c>
      <c r="E47" s="413">
        <v>1300</v>
      </c>
      <c r="I47" s="220">
        <v>1300</v>
      </c>
      <c r="J47" s="621">
        <v>1300</v>
      </c>
    </row>
    <row r="48" spans="1:10">
      <c r="A48" s="996"/>
      <c r="B48" s="150" t="s">
        <v>473</v>
      </c>
      <c r="C48" s="413"/>
      <c r="D48" s="442"/>
      <c r="E48" s="413"/>
      <c r="I48" s="220"/>
      <c r="J48" s="621"/>
    </row>
    <row r="49" spans="1:10">
      <c r="A49" s="996"/>
      <c r="B49" s="150" t="s">
        <v>556</v>
      </c>
      <c r="C49" s="413"/>
      <c r="D49" s="442"/>
      <c r="E49" s="413"/>
      <c r="I49" s="220"/>
      <c r="J49" s="621"/>
    </row>
    <row r="50" spans="1:10">
      <c r="A50" s="996"/>
      <c r="B50" s="150" t="s">
        <v>103</v>
      </c>
      <c r="C50" s="413">
        <v>600</v>
      </c>
      <c r="D50" s="442">
        <f>ROUND(C50*D$8,0)</f>
        <v>300</v>
      </c>
      <c r="E50" s="413">
        <v>600</v>
      </c>
      <c r="I50" s="220">
        <v>600</v>
      </c>
      <c r="J50" s="621">
        <v>600</v>
      </c>
    </row>
    <row r="51" spans="1:10">
      <c r="A51" s="996"/>
      <c r="B51" s="180" t="s">
        <v>216</v>
      </c>
      <c r="C51" s="413">
        <v>480</v>
      </c>
      <c r="D51" s="442">
        <f>ROUND(C51*D$8,0)</f>
        <v>240</v>
      </c>
      <c r="E51" s="413">
        <v>480</v>
      </c>
      <c r="F51" s="303"/>
      <c r="G51" s="303"/>
      <c r="H51" s="303"/>
      <c r="I51" s="220">
        <v>480</v>
      </c>
      <c r="J51" s="621">
        <v>480</v>
      </c>
    </row>
    <row r="52" spans="1:10" hidden="1">
      <c r="A52" s="996"/>
      <c r="B52" s="180" t="s">
        <v>293</v>
      </c>
      <c r="C52" s="413">
        <v>300</v>
      </c>
      <c r="D52" s="413">
        <v>300</v>
      </c>
      <c r="E52" s="413"/>
      <c r="F52" s="303"/>
      <c r="G52" s="303"/>
      <c r="H52" s="303"/>
      <c r="I52" s="220"/>
      <c r="J52" s="621"/>
    </row>
    <row r="53" spans="1:10">
      <c r="A53" s="997"/>
      <c r="B53" s="161" t="s">
        <v>205</v>
      </c>
      <c r="C53" s="414">
        <f>+SUM(C46:C52)</f>
        <v>3330</v>
      </c>
      <c r="D53" s="414">
        <f>+SUM(D46:D52)</f>
        <v>1815</v>
      </c>
      <c r="E53" s="570">
        <f>+SUM(E46:E51)</f>
        <v>3580</v>
      </c>
      <c r="H53" s="143"/>
      <c r="I53" s="221">
        <f>+SUM(I46:I51)</f>
        <v>3580</v>
      </c>
      <c r="J53" s="623">
        <f>+SUM(J46:J51)</f>
        <v>3580</v>
      </c>
    </row>
    <row r="54" spans="1:10" ht="8" customHeight="1">
      <c r="D54" s="200"/>
    </row>
    <row r="55" spans="1:10">
      <c r="B55" s="164" t="s">
        <v>304</v>
      </c>
      <c r="C55" s="415">
        <f>+C19+C21+C37+C44+C53</f>
        <v>96198</v>
      </c>
      <c r="D55" s="415">
        <f>+D19+D21+D37+D44+D53</f>
        <v>48251</v>
      </c>
      <c r="E55" s="165">
        <f>+E19+E37+E44+E53</f>
        <v>86398</v>
      </c>
      <c r="F55" s="143"/>
      <c r="G55" s="641"/>
      <c r="H55" s="445"/>
      <c r="I55" s="165">
        <f>+I19+I37+I44+I53</f>
        <v>88773</v>
      </c>
      <c r="J55" s="624">
        <f>+J19+J37+J44+J53</f>
        <v>91683</v>
      </c>
    </row>
    <row r="56" spans="1:10" ht="14.5" customHeight="1">
      <c r="B56" s="224" t="s">
        <v>282</v>
      </c>
      <c r="C56" s="211"/>
      <c r="D56" s="211"/>
      <c r="E56" s="211"/>
      <c r="I56" s="211">
        <f>+I55-E55</f>
        <v>2375</v>
      </c>
      <c r="J56" s="211">
        <f>+J55-E55</f>
        <v>5285</v>
      </c>
    </row>
    <row r="57" spans="1:10">
      <c r="I57" s="853">
        <f>(+I55-E55)/E55</f>
        <v>2.7489062246811267E-2</v>
      </c>
      <c r="J57" s="853">
        <f>(+J55-E55)/E55</f>
        <v>6.1170397462904237E-2</v>
      </c>
    </row>
    <row r="58" spans="1:10" ht="18.5">
      <c r="A58" s="844" t="s">
        <v>557</v>
      </c>
      <c r="C58" s="136"/>
    </row>
    <row r="59" spans="1:10" ht="32" customHeight="1" thickBot="1">
      <c r="A59" s="845"/>
      <c r="B59" s="845"/>
      <c r="C59" s="136"/>
      <c r="I59" s="845"/>
    </row>
    <row r="60" spans="1:10">
      <c r="A60" s="843" t="s">
        <v>562</v>
      </c>
      <c r="C60" s="136"/>
      <c r="I60" s="846" t="s">
        <v>558</v>
      </c>
    </row>
    <row r="61" spans="1:10">
      <c r="C61" s="136"/>
    </row>
    <row r="62" spans="1:10" ht="32" customHeight="1" thickBot="1">
      <c r="A62" s="845"/>
      <c r="B62" s="845"/>
      <c r="C62" s="136"/>
      <c r="I62" s="845"/>
    </row>
    <row r="63" spans="1:10">
      <c r="A63" s="843" t="s">
        <v>560</v>
      </c>
      <c r="C63" s="136"/>
      <c r="I63" s="846" t="s">
        <v>558</v>
      </c>
    </row>
    <row r="64" spans="1:10">
      <c r="C64" s="136"/>
    </row>
    <row r="65" spans="1:9" ht="32" customHeight="1" thickBot="1">
      <c r="A65" s="845"/>
      <c r="B65" s="845"/>
      <c r="C65" s="136"/>
      <c r="I65" s="845"/>
    </row>
    <row r="66" spans="1:9">
      <c r="A66" s="843" t="s">
        <v>561</v>
      </c>
      <c r="C66" s="136"/>
      <c r="I66" s="846" t="s">
        <v>558</v>
      </c>
    </row>
  </sheetData>
  <mergeCells count="13">
    <mergeCell ref="A1:M1"/>
    <mergeCell ref="K3:M3"/>
    <mergeCell ref="F4:H11"/>
    <mergeCell ref="K4:M11"/>
    <mergeCell ref="A4:A19"/>
    <mergeCell ref="B12:B14"/>
    <mergeCell ref="K15:M19"/>
    <mergeCell ref="F41:H41"/>
    <mergeCell ref="A46:A53"/>
    <mergeCell ref="F17:H17"/>
    <mergeCell ref="A30:A37"/>
    <mergeCell ref="A39:A44"/>
    <mergeCell ref="A21:A28"/>
  </mergeCells>
  <pageMargins left="0" right="0" top="0.25" bottom="0" header="0.3" footer="0.3"/>
  <pageSetup scale="86" orientation="portrait" horizontalDpi="4294967293" verticalDpi="0" r:id="rId1"/>
  <headerFooter>
    <oddFooter>&amp;R&amp;D</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Z79"/>
  <sheetViews>
    <sheetView showGridLines="0" topLeftCell="A29" workbookViewId="0">
      <selection activeCell="Z29" sqref="Z29"/>
    </sheetView>
  </sheetViews>
  <sheetFormatPr defaultRowHeight="14.5"/>
  <cols>
    <col min="1" max="1" width="7.453125" style="136" customWidth="1"/>
    <col min="2" max="2" width="39.26953125" style="136" customWidth="1"/>
    <col min="3" max="4" width="9.54296875" style="136" hidden="1" customWidth="1"/>
    <col min="5" max="5" width="9.36328125" style="136" customWidth="1"/>
    <col min="6" max="6" width="1.7265625" style="136" hidden="1" customWidth="1"/>
    <col min="7" max="7" width="4" style="136" hidden="1" customWidth="1"/>
    <col min="8" max="8" width="4.54296875" style="136" hidden="1" customWidth="1"/>
    <col min="9" max="9" width="4" style="136" hidden="1" customWidth="1"/>
    <col min="10" max="10" width="4.54296875" style="136" hidden="1" customWidth="1"/>
    <col min="11" max="11" width="4" style="136" hidden="1" customWidth="1"/>
    <col min="12" max="12" width="4.54296875" style="136" hidden="1" customWidth="1"/>
    <col min="13" max="13" width="4" style="136" hidden="1" customWidth="1"/>
    <col min="14" max="14" width="4.54296875" style="136" hidden="1" customWidth="1"/>
    <col min="15" max="15" width="4.26953125" style="136" hidden="1" customWidth="1"/>
    <col min="16" max="16" width="9.36328125" style="136" customWidth="1"/>
    <col min="17" max="17" width="1.7265625" style="136" customWidth="1"/>
    <col min="18" max="18" width="4" style="136" customWidth="1"/>
    <col min="19" max="19" width="4.54296875" style="136" customWidth="1"/>
    <col min="20" max="20" width="4" style="136" customWidth="1"/>
    <col min="21" max="21" width="4.54296875" style="136" customWidth="1"/>
    <col min="22" max="22" width="4" style="136" customWidth="1"/>
    <col min="23" max="23" width="4.54296875" style="136" customWidth="1"/>
    <col min="24" max="24" width="4" style="136" customWidth="1"/>
    <col min="25" max="25" width="4.54296875" style="136" customWidth="1"/>
    <col min="26" max="26" width="4.26953125" style="136" customWidth="1"/>
    <col min="27" max="16384" width="8.7265625" style="136"/>
  </cols>
  <sheetData>
    <row r="1" spans="1:26" ht="21">
      <c r="A1" s="980" t="s">
        <v>312</v>
      </c>
      <c r="B1" s="980"/>
      <c r="C1" s="980"/>
      <c r="D1" s="980"/>
      <c r="E1" s="980"/>
      <c r="F1" s="980"/>
      <c r="G1" s="980"/>
      <c r="H1" s="980"/>
      <c r="I1" s="980"/>
      <c r="J1" s="980"/>
      <c r="K1" s="980"/>
      <c r="L1" s="980"/>
      <c r="M1" s="980"/>
      <c r="N1" s="980"/>
      <c r="O1" s="980"/>
      <c r="P1" s="980"/>
      <c r="Q1" s="980"/>
      <c r="R1" s="980"/>
      <c r="S1" s="980"/>
      <c r="T1" s="980"/>
      <c r="U1" s="980"/>
      <c r="V1" s="980"/>
      <c r="W1" s="980"/>
      <c r="X1" s="980"/>
      <c r="Y1" s="980"/>
      <c r="Z1" s="980"/>
    </row>
    <row r="2" spans="1:26" ht="15" thickBot="1"/>
    <row r="3" spans="1:26" ht="32.5" customHeight="1" thickTop="1" thickBot="1">
      <c r="C3" s="499" t="s">
        <v>184</v>
      </c>
      <c r="D3" s="499" t="s">
        <v>281</v>
      </c>
      <c r="E3" s="500" t="s">
        <v>367</v>
      </c>
      <c r="F3" s="1042" t="s">
        <v>311</v>
      </c>
      <c r="G3" s="1042"/>
      <c r="H3" s="1042"/>
      <c r="I3" s="1042"/>
      <c r="J3" s="1042"/>
      <c r="K3" s="1042"/>
      <c r="L3" s="1042"/>
      <c r="M3" s="1042"/>
      <c r="N3" s="1042"/>
      <c r="O3" s="1043"/>
      <c r="P3" s="500" t="s">
        <v>458</v>
      </c>
      <c r="Q3" s="1042" t="s">
        <v>311</v>
      </c>
      <c r="R3" s="1042"/>
      <c r="S3" s="1042"/>
      <c r="T3" s="1042"/>
      <c r="U3" s="1042"/>
      <c r="V3" s="1042"/>
      <c r="W3" s="1042"/>
      <c r="X3" s="1042"/>
      <c r="Y3" s="1042"/>
      <c r="Z3" s="1043"/>
    </row>
    <row r="4" spans="1:26" ht="15" thickTop="1">
      <c r="A4" s="444"/>
      <c r="B4" s="317"/>
      <c r="C4" s="505"/>
      <c r="D4" s="506"/>
      <c r="E4" s="501"/>
      <c r="F4" s="312"/>
      <c r="G4" s="325">
        <v>4</v>
      </c>
      <c r="H4" s="303" t="s">
        <v>226</v>
      </c>
      <c r="I4" s="325">
        <v>4</v>
      </c>
      <c r="J4" s="303" t="s">
        <v>229</v>
      </c>
      <c r="K4" s="325">
        <v>4</v>
      </c>
      <c r="L4" s="303" t="s">
        <v>224</v>
      </c>
      <c r="M4" s="325">
        <v>4</v>
      </c>
      <c r="N4" s="303" t="s">
        <v>231</v>
      </c>
      <c r="O4" s="307"/>
      <c r="P4" s="501"/>
      <c r="Q4" s="312"/>
      <c r="R4" s="325">
        <v>5</v>
      </c>
      <c r="S4" s="303" t="s">
        <v>226</v>
      </c>
      <c r="T4" s="325">
        <v>4</v>
      </c>
      <c r="U4" s="303" t="s">
        <v>229</v>
      </c>
      <c r="V4" s="325">
        <v>5</v>
      </c>
      <c r="W4" s="303" t="s">
        <v>224</v>
      </c>
      <c r="X4" s="325">
        <v>5</v>
      </c>
      <c r="Y4" s="303" t="s">
        <v>231</v>
      </c>
      <c r="Z4" s="307"/>
    </row>
    <row r="5" spans="1:26">
      <c r="A5" s="324"/>
      <c r="B5" s="303"/>
      <c r="C5" s="506"/>
      <c r="D5" s="506"/>
      <c r="E5" s="501"/>
      <c r="F5" s="312"/>
      <c r="G5" s="325">
        <v>4</v>
      </c>
      <c r="H5" s="303" t="s">
        <v>227</v>
      </c>
      <c r="I5" s="325">
        <v>5</v>
      </c>
      <c r="J5" s="303" t="s">
        <v>222</v>
      </c>
      <c r="K5" s="325">
        <v>5</v>
      </c>
      <c r="L5" s="303" t="s">
        <v>230</v>
      </c>
      <c r="M5" s="325">
        <v>5</v>
      </c>
      <c r="N5" s="303" t="s">
        <v>232</v>
      </c>
      <c r="O5" s="307"/>
      <c r="P5" s="501"/>
      <c r="Q5" s="312"/>
      <c r="R5" s="325">
        <v>4</v>
      </c>
      <c r="S5" s="303" t="s">
        <v>227</v>
      </c>
      <c r="T5" s="325">
        <v>5</v>
      </c>
      <c r="U5" s="303" t="s">
        <v>222</v>
      </c>
      <c r="V5" s="325">
        <v>4</v>
      </c>
      <c r="W5" s="303" t="s">
        <v>230</v>
      </c>
      <c r="X5" s="325">
        <v>4</v>
      </c>
      <c r="Y5" s="303" t="s">
        <v>232</v>
      </c>
      <c r="Z5" s="307"/>
    </row>
    <row r="6" spans="1:26">
      <c r="A6" s="327" t="s">
        <v>220</v>
      </c>
      <c r="B6" s="328" t="s">
        <v>221</v>
      </c>
      <c r="C6" s="507">
        <v>52</v>
      </c>
      <c r="D6" s="507">
        <v>52</v>
      </c>
      <c r="E6" s="502">
        <f>+SUM(G4:G6)+SUM(I4:I6)+SUM(K4:K6)+SUM(M4:M6)</f>
        <v>52</v>
      </c>
      <c r="F6" s="461"/>
      <c r="G6" s="329">
        <v>5</v>
      </c>
      <c r="H6" s="328" t="s">
        <v>228</v>
      </c>
      <c r="I6" s="329">
        <v>4</v>
      </c>
      <c r="J6" s="328" t="s">
        <v>223</v>
      </c>
      <c r="K6" s="329">
        <v>4</v>
      </c>
      <c r="L6" s="328" t="s">
        <v>225</v>
      </c>
      <c r="M6" s="329">
        <v>4</v>
      </c>
      <c r="N6" s="328" t="s">
        <v>233</v>
      </c>
      <c r="O6" s="330"/>
      <c r="P6" s="502">
        <f>+SUM(R4:R6)+SUM(T4:T6)+SUM(V4:V6)+SUM(X4:X6)</f>
        <v>52</v>
      </c>
      <c r="Q6" s="461"/>
      <c r="R6" s="329">
        <v>4</v>
      </c>
      <c r="S6" s="328" t="s">
        <v>228</v>
      </c>
      <c r="T6" s="329">
        <v>4</v>
      </c>
      <c r="U6" s="328" t="s">
        <v>223</v>
      </c>
      <c r="V6" s="329">
        <v>4</v>
      </c>
      <c r="W6" s="328" t="s">
        <v>225</v>
      </c>
      <c r="X6" s="329">
        <v>4</v>
      </c>
      <c r="Y6" s="328" t="s">
        <v>233</v>
      </c>
      <c r="Z6" s="330"/>
    </row>
    <row r="7" spans="1:26">
      <c r="A7" s="331"/>
      <c r="B7" s="332" t="s">
        <v>234</v>
      </c>
      <c r="C7" s="503">
        <v>4</v>
      </c>
      <c r="D7" s="503">
        <v>4</v>
      </c>
      <c r="E7" s="503">
        <v>4</v>
      </c>
      <c r="F7" s="462"/>
      <c r="G7" s="332" t="s">
        <v>283</v>
      </c>
      <c r="H7" s="332"/>
      <c r="I7" s="332"/>
      <c r="J7" s="332"/>
      <c r="K7" s="332"/>
      <c r="L7" s="332"/>
      <c r="M7" s="332"/>
      <c r="N7" s="332"/>
      <c r="O7" s="333"/>
      <c r="P7" s="503">
        <v>4</v>
      </c>
      <c r="Q7" s="462"/>
      <c r="R7" s="332" t="s">
        <v>459</v>
      </c>
      <c r="S7" s="332"/>
      <c r="T7" s="332"/>
      <c r="U7" s="332"/>
      <c r="V7" s="332"/>
      <c r="W7" s="332"/>
      <c r="X7" s="332"/>
      <c r="Y7" s="332"/>
      <c r="Z7" s="333"/>
    </row>
    <row r="8" spans="1:26">
      <c r="A8" s="331"/>
      <c r="B8" s="332" t="s">
        <v>235</v>
      </c>
      <c r="C8" s="503">
        <v>6</v>
      </c>
      <c r="D8" s="503">
        <v>7</v>
      </c>
      <c r="E8" s="503">
        <v>7</v>
      </c>
      <c r="F8" s="462"/>
      <c r="G8" s="332" t="s">
        <v>284</v>
      </c>
      <c r="H8" s="332"/>
      <c r="I8" s="332"/>
      <c r="J8" s="332"/>
      <c r="K8" s="332"/>
      <c r="L8" s="332"/>
      <c r="M8" s="332"/>
      <c r="N8" s="332"/>
      <c r="O8" s="333"/>
      <c r="P8" s="503">
        <v>7</v>
      </c>
      <c r="Q8" s="462"/>
      <c r="R8" s="332" t="s">
        <v>462</v>
      </c>
      <c r="S8" s="332"/>
      <c r="T8" s="332"/>
      <c r="U8" s="332"/>
      <c r="V8" s="332"/>
      <c r="W8" s="332"/>
      <c r="X8" s="332"/>
      <c r="Y8" s="332"/>
      <c r="Z8" s="333"/>
    </row>
    <row r="9" spans="1:26">
      <c r="A9" s="331"/>
      <c r="B9" s="332" t="s">
        <v>287</v>
      </c>
      <c r="C9" s="503">
        <v>1</v>
      </c>
      <c r="D9" s="503">
        <v>1</v>
      </c>
      <c r="E9" s="503">
        <v>1</v>
      </c>
      <c r="F9" s="462"/>
      <c r="G9" s="332" t="s">
        <v>286</v>
      </c>
      <c r="H9" s="332"/>
      <c r="I9" s="332"/>
      <c r="J9" s="332"/>
      <c r="K9" s="332"/>
      <c r="L9" s="332"/>
      <c r="M9" s="332"/>
      <c r="N9" s="332"/>
      <c r="O9" s="333"/>
      <c r="P9" s="503">
        <v>0</v>
      </c>
      <c r="Q9" s="462"/>
      <c r="R9" s="332" t="s">
        <v>460</v>
      </c>
      <c r="S9" s="332"/>
      <c r="T9" s="332"/>
      <c r="U9" s="332"/>
      <c r="V9" s="332"/>
      <c r="W9" s="332"/>
      <c r="X9" s="332"/>
      <c r="Y9" s="332"/>
      <c r="Z9" s="333"/>
    </row>
    <row r="10" spans="1:26" ht="15" thickBot="1">
      <c r="A10" s="326"/>
      <c r="B10" s="313" t="s">
        <v>236</v>
      </c>
      <c r="C10" s="504">
        <v>15</v>
      </c>
      <c r="D10" s="504">
        <v>15</v>
      </c>
      <c r="E10" s="504">
        <v>15</v>
      </c>
      <c r="F10" s="463"/>
      <c r="G10" s="313" t="s">
        <v>285</v>
      </c>
      <c r="H10" s="313"/>
      <c r="I10" s="313"/>
      <c r="J10" s="313"/>
      <c r="K10" s="313"/>
      <c r="L10" s="313"/>
      <c r="M10" s="313"/>
      <c r="N10" s="313"/>
      <c r="O10" s="314"/>
      <c r="P10" s="504">
        <v>15</v>
      </c>
      <c r="Q10" s="463"/>
      <c r="R10" s="313" t="s">
        <v>461</v>
      </c>
      <c r="S10" s="313"/>
      <c r="T10" s="313"/>
      <c r="U10" s="313"/>
      <c r="V10" s="313"/>
      <c r="W10" s="313"/>
      <c r="X10" s="313"/>
      <c r="Y10" s="313"/>
      <c r="Z10" s="314"/>
    </row>
    <row r="11" spans="1:26" ht="16.5" customHeight="1" thickTop="1" thickBot="1">
      <c r="A11" s="334"/>
    </row>
    <row r="12" spans="1:26" ht="49" customHeight="1" thickTop="1" thickBot="1">
      <c r="A12" s="496" t="s">
        <v>218</v>
      </c>
      <c r="B12" s="493"/>
      <c r="C12" s="508">
        <v>3000</v>
      </c>
      <c r="D12" s="508">
        <v>3060</v>
      </c>
      <c r="E12" s="508">
        <v>3091</v>
      </c>
      <c r="F12" s="485"/>
      <c r="G12" s="1044" t="s">
        <v>331</v>
      </c>
      <c r="H12" s="1044"/>
      <c r="I12" s="1044"/>
      <c r="J12" s="1044"/>
      <c r="K12" s="1044"/>
      <c r="L12" s="1044"/>
      <c r="M12" s="1044"/>
      <c r="N12" s="1044"/>
      <c r="O12" s="1045"/>
      <c r="P12" s="808">
        <f>ROUND(+E12*(1+'New Year-Full Year'!F78+0.025),0)</f>
        <v>3168</v>
      </c>
      <c r="Q12" s="485"/>
      <c r="R12" s="1044" t="s">
        <v>331</v>
      </c>
      <c r="S12" s="1044"/>
      <c r="T12" s="1044"/>
      <c r="U12" s="1044"/>
      <c r="V12" s="1044"/>
      <c r="W12" s="1044"/>
      <c r="X12" s="1044"/>
      <c r="Y12" s="1044"/>
      <c r="Z12" s="1045"/>
    </row>
    <row r="13" spans="1:26" ht="15.5" thickTop="1" thickBot="1">
      <c r="A13" s="1024" t="s">
        <v>243</v>
      </c>
      <c r="B13" s="1025"/>
      <c r="C13" s="1025"/>
      <c r="D13" s="1025"/>
      <c r="E13" s="1025"/>
      <c r="F13" s="1025"/>
      <c r="G13" s="1025"/>
      <c r="H13" s="1025"/>
      <c r="I13" s="1025"/>
      <c r="J13" s="1025"/>
      <c r="K13" s="1025"/>
      <c r="L13" s="1025"/>
      <c r="M13" s="1025"/>
      <c r="N13" s="1025"/>
      <c r="O13" s="1037"/>
    </row>
    <row r="14" spans="1:26" ht="15" customHeight="1" thickTop="1">
      <c r="A14" s="1026" t="s">
        <v>545</v>
      </c>
      <c r="B14" s="316" t="s">
        <v>492</v>
      </c>
      <c r="C14" s="509">
        <v>37</v>
      </c>
      <c r="D14" s="509">
        <v>37</v>
      </c>
      <c r="E14" s="510">
        <f>+E6-E10</f>
        <v>37</v>
      </c>
      <c r="F14" s="464"/>
      <c r="G14" s="1038" t="s">
        <v>259</v>
      </c>
      <c r="H14" s="1038"/>
      <c r="I14" s="1038"/>
      <c r="J14" s="1038"/>
      <c r="K14" s="1038"/>
      <c r="L14" s="1038"/>
      <c r="M14" s="1038"/>
      <c r="N14" s="1038"/>
      <c r="O14" s="1039"/>
      <c r="P14" s="510">
        <f>+P6-P10</f>
        <v>37</v>
      </c>
      <c r="Q14" s="464"/>
      <c r="R14" s="1038" t="s">
        <v>259</v>
      </c>
      <c r="S14" s="1038"/>
      <c r="T14" s="1038"/>
      <c r="U14" s="1038"/>
      <c r="V14" s="1038"/>
      <c r="W14" s="1038"/>
      <c r="X14" s="1038"/>
      <c r="Y14" s="1038"/>
      <c r="Z14" s="1039"/>
    </row>
    <row r="15" spans="1:26">
      <c r="A15" s="1027"/>
      <c r="B15" s="302" t="s">
        <v>482</v>
      </c>
      <c r="C15" s="511">
        <v>1</v>
      </c>
      <c r="D15" s="511">
        <v>1</v>
      </c>
      <c r="E15" s="511">
        <v>1</v>
      </c>
      <c r="F15" s="465"/>
      <c r="G15" s="1040"/>
      <c r="H15" s="1040"/>
      <c r="I15" s="1040"/>
      <c r="J15" s="1040"/>
      <c r="K15" s="1040"/>
      <c r="L15" s="1040"/>
      <c r="M15" s="1040"/>
      <c r="N15" s="1040"/>
      <c r="O15" s="1041"/>
      <c r="P15" s="511">
        <v>1</v>
      </c>
      <c r="Q15" s="465"/>
      <c r="R15" s="1040"/>
      <c r="S15" s="1040"/>
      <c r="T15" s="1040"/>
      <c r="U15" s="1040"/>
      <c r="V15" s="1040"/>
      <c r="W15" s="1040"/>
      <c r="X15" s="1040"/>
      <c r="Y15" s="1040"/>
      <c r="Z15" s="1041"/>
    </row>
    <row r="16" spans="1:26">
      <c r="A16" s="1027"/>
      <c r="B16" s="308" t="s">
        <v>485</v>
      </c>
      <c r="C16" s="512">
        <f>+C14*C15</f>
        <v>37</v>
      </c>
      <c r="D16" s="512">
        <f>+D14*D15</f>
        <v>37</v>
      </c>
      <c r="E16" s="512">
        <f>+E14*E15</f>
        <v>37</v>
      </c>
      <c r="F16" s="466"/>
      <c r="G16" s="309"/>
      <c r="H16" s="309"/>
      <c r="I16" s="320"/>
      <c r="J16" s="309"/>
      <c r="K16" s="320"/>
      <c r="L16" s="309"/>
      <c r="M16" s="320"/>
      <c r="N16" s="309"/>
      <c r="O16" s="311"/>
      <c r="P16" s="512">
        <f>+P14*P15</f>
        <v>37</v>
      </c>
      <c r="Q16" s="466"/>
      <c r="R16" s="309"/>
      <c r="S16" s="309"/>
      <c r="T16" s="320"/>
      <c r="U16" s="309"/>
      <c r="V16" s="320"/>
      <c r="W16" s="309"/>
      <c r="X16" s="320"/>
      <c r="Y16" s="309"/>
      <c r="Z16" s="311"/>
    </row>
    <row r="17" spans="1:26">
      <c r="A17" s="1028"/>
      <c r="B17" s="305" t="s">
        <v>486</v>
      </c>
      <c r="C17" s="513"/>
      <c r="D17" s="513"/>
      <c r="E17" s="513"/>
      <c r="F17" s="467"/>
      <c r="G17" s="149"/>
      <c r="H17" s="149"/>
      <c r="I17" s="202"/>
      <c r="J17" s="149"/>
      <c r="K17" s="202"/>
      <c r="L17" s="149"/>
      <c r="M17" s="202"/>
      <c r="N17" s="149"/>
      <c r="O17" s="306"/>
      <c r="P17" s="513"/>
      <c r="Q17" s="467"/>
      <c r="R17" s="149"/>
      <c r="S17" s="149"/>
      <c r="T17" s="202"/>
      <c r="U17" s="149"/>
      <c r="V17" s="202"/>
      <c r="W17" s="149"/>
      <c r="X17" s="202"/>
      <c r="Y17" s="149"/>
      <c r="Z17" s="306"/>
    </row>
    <row r="18" spans="1:26">
      <c r="A18" s="1028"/>
      <c r="B18" s="302" t="s">
        <v>483</v>
      </c>
      <c r="C18" s="511">
        <v>0</v>
      </c>
      <c r="D18" s="511">
        <v>0</v>
      </c>
      <c r="E18" s="511">
        <v>0</v>
      </c>
      <c r="F18" s="465"/>
      <c r="G18" s="303" t="s">
        <v>237</v>
      </c>
      <c r="H18" s="181"/>
      <c r="J18" s="303"/>
      <c r="K18" s="181"/>
      <c r="L18" s="303"/>
      <c r="M18" s="181"/>
      <c r="N18" s="303"/>
      <c r="O18" s="307"/>
      <c r="P18" s="511">
        <v>4</v>
      </c>
      <c r="Q18" s="465"/>
      <c r="R18" s="303" t="s">
        <v>479</v>
      </c>
      <c r="S18" s="181"/>
      <c r="U18" s="303"/>
      <c r="V18" s="181"/>
      <c r="W18" s="303"/>
      <c r="X18" s="181"/>
      <c r="Y18" s="303"/>
      <c r="Z18" s="307"/>
    </row>
    <row r="19" spans="1:26">
      <c r="A19" s="1028"/>
      <c r="B19" s="308" t="s">
        <v>484</v>
      </c>
      <c r="C19" s="512">
        <f>+C8</f>
        <v>6</v>
      </c>
      <c r="D19" s="512">
        <f>+D8</f>
        <v>7</v>
      </c>
      <c r="E19" s="512">
        <f>+E8</f>
        <v>7</v>
      </c>
      <c r="F19" s="466"/>
      <c r="G19" s="309" t="s">
        <v>238</v>
      </c>
      <c r="I19" s="310"/>
      <c r="J19" s="309"/>
      <c r="K19" s="310"/>
      <c r="L19" s="309"/>
      <c r="M19" s="310"/>
      <c r="N19" s="309"/>
      <c r="O19" s="311"/>
      <c r="P19" s="512">
        <f>+P8</f>
        <v>7</v>
      </c>
      <c r="Q19" s="466"/>
      <c r="R19" s="309" t="s">
        <v>238</v>
      </c>
      <c r="T19" s="310"/>
      <c r="U19" s="309"/>
      <c r="V19" s="310"/>
      <c r="W19" s="309"/>
      <c r="X19" s="310"/>
      <c r="Y19" s="309"/>
      <c r="Z19" s="311"/>
    </row>
    <row r="20" spans="1:26">
      <c r="A20" s="1028"/>
      <c r="B20" s="305" t="s">
        <v>485</v>
      </c>
      <c r="C20" s="514">
        <f>SUM(C16:C19)</f>
        <v>43</v>
      </c>
      <c r="D20" s="514">
        <f>SUM(D16:D19)</f>
        <v>44</v>
      </c>
      <c r="E20" s="514">
        <f>SUM(E16:E19)</f>
        <v>44</v>
      </c>
      <c r="F20" s="468"/>
      <c r="G20" s="149"/>
      <c r="H20" s="149"/>
      <c r="I20" s="202"/>
      <c r="J20" s="149"/>
      <c r="K20" s="202"/>
      <c r="L20" s="149"/>
      <c r="M20" s="202"/>
      <c r="N20" s="149"/>
      <c r="O20" s="306"/>
      <c r="P20" s="514">
        <f>SUM(P16:P19)</f>
        <v>48</v>
      </c>
      <c r="Q20" s="468"/>
      <c r="R20" s="149"/>
      <c r="S20" s="149"/>
      <c r="T20" s="202"/>
      <c r="U20" s="149"/>
      <c r="V20" s="202"/>
      <c r="W20" s="149"/>
      <c r="X20" s="202"/>
      <c r="Y20" s="149"/>
      <c r="Z20" s="306"/>
    </row>
    <row r="21" spans="1:26">
      <c r="A21" s="1028"/>
      <c r="B21" s="302" t="s">
        <v>245</v>
      </c>
      <c r="C21" s="515">
        <f>C14</f>
        <v>37</v>
      </c>
      <c r="D21" s="515">
        <f>D14</f>
        <v>37</v>
      </c>
      <c r="E21" s="515">
        <f>E14</f>
        <v>37</v>
      </c>
      <c r="F21" s="469"/>
      <c r="G21" s="303" t="s">
        <v>244</v>
      </c>
      <c r="I21" s="181"/>
      <c r="J21" s="303"/>
      <c r="K21" s="181"/>
      <c r="L21" s="303"/>
      <c r="M21" s="181"/>
      <c r="N21" s="303"/>
      <c r="O21" s="307"/>
      <c r="P21" s="515">
        <f>P14</f>
        <v>37</v>
      </c>
      <c r="Q21" s="469"/>
      <c r="R21" s="303" t="s">
        <v>488</v>
      </c>
      <c r="T21" s="181"/>
      <c r="U21" s="303"/>
      <c r="V21" s="181"/>
      <c r="W21" s="303"/>
      <c r="X21" s="181"/>
      <c r="Y21" s="303"/>
      <c r="Z21" s="307"/>
    </row>
    <row r="22" spans="1:26">
      <c r="A22" s="1028"/>
      <c r="B22" s="308" t="s">
        <v>487</v>
      </c>
      <c r="C22" s="516">
        <f>+C20+C21</f>
        <v>80</v>
      </c>
      <c r="D22" s="516">
        <f>+D20+D21</f>
        <v>81</v>
      </c>
      <c r="E22" s="516">
        <f>+E20+E21</f>
        <v>81</v>
      </c>
      <c r="F22" s="470"/>
      <c r="G22" s="309"/>
      <c r="H22" s="309"/>
      <c r="I22" s="310"/>
      <c r="J22" s="309"/>
      <c r="K22" s="310"/>
      <c r="L22" s="309"/>
      <c r="M22" s="310"/>
      <c r="N22" s="309"/>
      <c r="O22" s="311"/>
      <c r="P22" s="516">
        <f>+P20+P21</f>
        <v>85</v>
      </c>
      <c r="Q22" s="470"/>
      <c r="R22" s="309"/>
      <c r="S22" s="309"/>
      <c r="T22" s="310"/>
      <c r="U22" s="309"/>
      <c r="V22" s="310"/>
      <c r="W22" s="309"/>
      <c r="X22" s="310"/>
      <c r="Y22" s="309"/>
      <c r="Z22" s="311"/>
    </row>
    <row r="23" spans="1:26">
      <c r="A23" s="1029" t="s">
        <v>241</v>
      </c>
      <c r="B23" s="149" t="s">
        <v>250</v>
      </c>
      <c r="C23" s="513">
        <v>6</v>
      </c>
      <c r="D23" s="513">
        <v>6</v>
      </c>
      <c r="E23" s="513">
        <v>6</v>
      </c>
      <c r="F23" s="467"/>
      <c r="G23" s="149"/>
      <c r="H23" s="149"/>
      <c r="I23" s="202"/>
      <c r="J23" s="149"/>
      <c r="K23" s="202"/>
      <c r="L23" s="149"/>
      <c r="M23" s="202"/>
      <c r="N23" s="149"/>
      <c r="O23" s="306"/>
      <c r="P23" s="513">
        <v>5</v>
      </c>
      <c r="Q23" s="467"/>
      <c r="R23" s="149" t="s">
        <v>480</v>
      </c>
      <c r="S23" s="149"/>
      <c r="T23" s="202"/>
      <c r="U23" s="149"/>
      <c r="V23" s="202"/>
      <c r="W23" s="149"/>
      <c r="X23" s="202"/>
      <c r="Y23" s="149"/>
      <c r="Z23" s="306"/>
    </row>
    <row r="24" spans="1:26">
      <c r="A24" s="1030"/>
      <c r="B24" s="303" t="s">
        <v>489</v>
      </c>
      <c r="C24" s="511">
        <v>0</v>
      </c>
      <c r="D24" s="511">
        <v>3</v>
      </c>
      <c r="E24" s="511">
        <v>3</v>
      </c>
      <c r="F24" s="465"/>
      <c r="G24" s="303" t="s">
        <v>288</v>
      </c>
      <c r="I24" s="181"/>
      <c r="J24" s="303"/>
      <c r="K24" s="181"/>
      <c r="L24" s="303"/>
      <c r="M24" s="181"/>
      <c r="N24" s="303"/>
      <c r="O24" s="307"/>
      <c r="P24" s="511">
        <v>3</v>
      </c>
      <c r="Q24" s="465"/>
      <c r="R24" s="303"/>
      <c r="T24" s="181"/>
      <c r="U24" s="303"/>
      <c r="V24" s="181"/>
      <c r="W24" s="303"/>
      <c r="X24" s="181"/>
      <c r="Y24" s="303"/>
      <c r="Z24" s="307"/>
    </row>
    <row r="25" spans="1:26">
      <c r="A25" s="1030"/>
      <c r="B25" s="303" t="s">
        <v>240</v>
      </c>
      <c r="C25" s="517">
        <v>25</v>
      </c>
      <c r="D25" s="517">
        <v>25</v>
      </c>
      <c r="E25" s="517">
        <v>25</v>
      </c>
      <c r="F25" s="471"/>
      <c r="G25" s="303"/>
      <c r="H25" s="303"/>
      <c r="I25" s="181"/>
      <c r="J25" s="303"/>
      <c r="K25" s="181"/>
      <c r="L25" s="303"/>
      <c r="M25" s="181"/>
      <c r="N25" s="303"/>
      <c r="O25" s="307"/>
      <c r="P25" s="517">
        <v>25</v>
      </c>
      <c r="Q25" s="471"/>
      <c r="R25" s="303"/>
      <c r="S25" s="303"/>
      <c r="T25" s="181"/>
      <c r="U25" s="303"/>
      <c r="V25" s="181"/>
      <c r="W25" s="303"/>
      <c r="X25" s="181"/>
      <c r="Y25" s="303"/>
      <c r="Z25" s="307"/>
    </row>
    <row r="26" spans="1:26">
      <c r="A26" s="1031"/>
      <c r="B26" s="309" t="s">
        <v>490</v>
      </c>
      <c r="C26" s="518">
        <v>30</v>
      </c>
      <c r="D26" s="518">
        <v>30</v>
      </c>
      <c r="E26" s="518">
        <v>30</v>
      </c>
      <c r="F26" s="472"/>
      <c r="G26" s="309"/>
      <c r="H26" s="309"/>
      <c r="I26" s="310"/>
      <c r="J26" s="309"/>
      <c r="K26" s="310"/>
      <c r="L26" s="309"/>
      <c r="M26" s="310"/>
      <c r="N26" s="309"/>
      <c r="O26" s="311"/>
      <c r="P26" s="518">
        <v>35</v>
      </c>
      <c r="Q26" s="472"/>
      <c r="R26" s="309"/>
      <c r="S26" s="309"/>
      <c r="T26" s="310"/>
      <c r="U26" s="309"/>
      <c r="V26" s="310"/>
      <c r="W26" s="309"/>
      <c r="X26" s="310"/>
      <c r="Y26" s="309"/>
      <c r="Z26" s="311"/>
    </row>
    <row r="27" spans="1:26">
      <c r="A27" s="1029" t="s">
        <v>242</v>
      </c>
      <c r="B27" s="149" t="s">
        <v>239</v>
      </c>
      <c r="C27" s="519">
        <f>+C21*C23*C25</f>
        <v>5550</v>
      </c>
      <c r="D27" s="519">
        <f>(+D21*D23*D25)+(D24*2*D25)</f>
        <v>5700</v>
      </c>
      <c r="E27" s="519">
        <f>(+E21*E23*E25)+(E24*2*E25)</f>
        <v>5700</v>
      </c>
      <c r="F27" s="473"/>
      <c r="G27" s="149"/>
      <c r="H27" s="149"/>
      <c r="I27" s="202"/>
      <c r="J27" s="149"/>
      <c r="K27" s="202"/>
      <c r="L27" s="149"/>
      <c r="M27" s="202"/>
      <c r="N27" s="149"/>
      <c r="O27" s="306"/>
      <c r="P27" s="519">
        <f>(+P21*P23*P25)+(P24*2*P25)</f>
        <v>4775</v>
      </c>
      <c r="Q27" s="473"/>
      <c r="R27" s="149"/>
      <c r="S27" s="149"/>
      <c r="T27" s="202"/>
      <c r="U27" s="149"/>
      <c r="V27" s="202"/>
      <c r="W27" s="149"/>
      <c r="X27" s="202"/>
      <c r="Y27" s="149"/>
      <c r="Z27" s="306"/>
    </row>
    <row r="28" spans="1:26">
      <c r="A28" s="1030"/>
      <c r="B28" s="303" t="s">
        <v>491</v>
      </c>
      <c r="C28" s="520">
        <f>+C20*C23*C26</f>
        <v>7740</v>
      </c>
      <c r="D28" s="520">
        <f>(+D20*D23*D26)+(D24*2*D26)</f>
        <v>8100</v>
      </c>
      <c r="E28" s="520">
        <f>(+E20*E23*E26)+(E24*2*E26)</f>
        <v>8100</v>
      </c>
      <c r="F28" s="474"/>
      <c r="G28" s="303"/>
      <c r="H28" s="303"/>
      <c r="I28" s="181"/>
      <c r="J28" s="312"/>
      <c r="K28" s="181"/>
      <c r="L28" s="303"/>
      <c r="M28" s="181"/>
      <c r="N28" s="303"/>
      <c r="O28" s="307"/>
      <c r="P28" s="520">
        <f>(+P20*P23*P26)+(P24*2*P26)</f>
        <v>8610</v>
      </c>
      <c r="Q28" s="474"/>
      <c r="R28" s="303"/>
      <c r="S28" s="303"/>
      <c r="T28" s="181"/>
      <c r="U28" s="312"/>
      <c r="V28" s="181"/>
      <c r="W28" s="303"/>
      <c r="X28" s="181"/>
      <c r="Y28" s="303"/>
      <c r="Z28" s="307"/>
    </row>
    <row r="29" spans="1:26" ht="15" thickBot="1">
      <c r="A29" s="1032"/>
      <c r="B29" s="497" t="s">
        <v>246</v>
      </c>
      <c r="C29" s="521">
        <f>+C27+C28</f>
        <v>13290</v>
      </c>
      <c r="D29" s="521">
        <f>+D27+D28</f>
        <v>13800</v>
      </c>
      <c r="E29" s="522">
        <f>+E27+E28</f>
        <v>13800</v>
      </c>
      <c r="F29" s="486"/>
      <c r="G29" s="447"/>
      <c r="H29" s="447"/>
      <c r="I29" s="447"/>
      <c r="J29" s="447"/>
      <c r="K29" s="447"/>
      <c r="L29" s="447"/>
      <c r="M29" s="447"/>
      <c r="N29" s="447"/>
      <c r="O29" s="487"/>
      <c r="P29" s="522">
        <f>+P27+P28</f>
        <v>13385</v>
      </c>
      <c r="Q29" s="486"/>
      <c r="R29" s="447"/>
      <c r="S29" s="447"/>
      <c r="T29" s="447"/>
      <c r="U29" s="447"/>
      <c r="V29" s="447"/>
      <c r="W29" s="447"/>
      <c r="X29" s="447"/>
      <c r="Y29" s="447"/>
      <c r="Z29" s="487"/>
    </row>
    <row r="30" spans="1:26" ht="15.5" thickTop="1" thickBot="1">
      <c r="A30" s="1024" t="s">
        <v>510</v>
      </c>
      <c r="B30" s="1025"/>
      <c r="C30" s="1025"/>
      <c r="D30" s="1025"/>
      <c r="E30" s="1025"/>
      <c r="F30" s="1025"/>
      <c r="G30" s="1025"/>
      <c r="H30" s="1025"/>
      <c r="I30" s="1025"/>
      <c r="J30" s="1025"/>
      <c r="K30" s="1025"/>
      <c r="L30" s="1025"/>
      <c r="M30" s="1025"/>
      <c r="N30" s="1025"/>
      <c r="O30" s="1037"/>
    </row>
    <row r="31" spans="1:26" ht="15" customHeight="1" thickTop="1">
      <c r="A31" s="1033" t="s">
        <v>545</v>
      </c>
      <c r="B31" s="317" t="s">
        <v>492</v>
      </c>
      <c r="C31" s="523">
        <v>52</v>
      </c>
      <c r="D31" s="523">
        <v>52</v>
      </c>
      <c r="E31" s="523">
        <f>+E6</f>
        <v>52</v>
      </c>
      <c r="F31" s="475"/>
      <c r="G31" s="317"/>
      <c r="H31" s="317"/>
      <c r="I31" s="318"/>
      <c r="J31" s="317"/>
      <c r="K31" s="318"/>
      <c r="L31" s="317"/>
      <c r="M31" s="318"/>
      <c r="N31" s="317"/>
      <c r="O31" s="319"/>
      <c r="P31" s="523">
        <f>+P6</f>
        <v>52</v>
      </c>
      <c r="Q31" s="475"/>
      <c r="R31" s="317"/>
      <c r="S31" s="317"/>
      <c r="T31" s="318"/>
      <c r="U31" s="317"/>
      <c r="V31" s="318"/>
      <c r="W31" s="317"/>
      <c r="X31" s="318"/>
      <c r="Y31" s="317"/>
      <c r="Z31" s="319"/>
    </row>
    <row r="32" spans="1:26">
      <c r="A32" s="1034"/>
      <c r="B32" s="303" t="s">
        <v>482</v>
      </c>
      <c r="C32" s="524">
        <v>2</v>
      </c>
      <c r="D32" s="524">
        <v>2</v>
      </c>
      <c r="E32" s="524">
        <v>2</v>
      </c>
      <c r="F32" s="476"/>
      <c r="G32" s="303"/>
      <c r="H32" s="303"/>
      <c r="I32" s="181"/>
      <c r="J32" s="303"/>
      <c r="K32" s="181"/>
      <c r="L32" s="303"/>
      <c r="M32" s="181"/>
      <c r="N32" s="303"/>
      <c r="O32" s="307"/>
      <c r="P32" s="524">
        <v>2</v>
      </c>
      <c r="Q32" s="476"/>
      <c r="R32" s="303"/>
      <c r="S32" s="303"/>
      <c r="T32" s="181"/>
      <c r="U32" s="303"/>
      <c r="V32" s="181"/>
      <c r="W32" s="303"/>
      <c r="X32" s="181"/>
      <c r="Y32" s="303"/>
      <c r="Z32" s="307"/>
    </row>
    <row r="33" spans="1:26">
      <c r="A33" s="1034"/>
      <c r="B33" s="309" t="s">
        <v>539</v>
      </c>
      <c r="C33" s="525">
        <f>+C31*C32</f>
        <v>104</v>
      </c>
      <c r="D33" s="525">
        <f>+D31*D32</f>
        <v>104</v>
      </c>
      <c r="E33" s="525">
        <f>+E31*E32</f>
        <v>104</v>
      </c>
      <c r="F33" s="477"/>
      <c r="G33" s="309"/>
      <c r="H33" s="309"/>
      <c r="I33" s="310"/>
      <c r="J33" s="309"/>
      <c r="K33" s="310"/>
      <c r="L33" s="309"/>
      <c r="M33" s="310"/>
      <c r="N33" s="309"/>
      <c r="O33" s="311"/>
      <c r="P33" s="525">
        <f>+P31*P32</f>
        <v>104</v>
      </c>
      <c r="Q33" s="477"/>
      <c r="R33" s="309"/>
      <c r="S33" s="309"/>
      <c r="T33" s="310"/>
      <c r="U33" s="309"/>
      <c r="V33" s="310"/>
      <c r="W33" s="309"/>
      <c r="X33" s="310"/>
      <c r="Y33" s="309"/>
      <c r="Z33" s="311"/>
    </row>
    <row r="34" spans="1:26">
      <c r="A34" s="1034"/>
      <c r="B34" s="149" t="s">
        <v>540</v>
      </c>
      <c r="C34" s="526"/>
      <c r="D34" s="526"/>
      <c r="E34" s="526"/>
      <c r="F34" s="478"/>
      <c r="G34" s="149"/>
      <c r="H34" s="149"/>
      <c r="I34" s="202"/>
      <c r="J34" s="149"/>
      <c r="K34" s="202"/>
      <c r="L34" s="149"/>
      <c r="M34" s="202"/>
      <c r="N34" s="149"/>
      <c r="O34" s="306"/>
      <c r="P34" s="526"/>
      <c r="Q34" s="478"/>
      <c r="R34" s="149"/>
      <c r="S34" s="149"/>
      <c r="T34" s="202"/>
      <c r="U34" s="149"/>
      <c r="V34" s="202"/>
      <c r="W34" s="149"/>
      <c r="X34" s="202"/>
      <c r="Y34" s="149"/>
      <c r="Z34" s="306"/>
    </row>
    <row r="35" spans="1:26">
      <c r="A35" s="1034"/>
      <c r="B35" s="303" t="s">
        <v>247</v>
      </c>
      <c r="C35" s="527">
        <f t="shared" ref="C35:E36" si="0">+C7</f>
        <v>4</v>
      </c>
      <c r="D35" s="527">
        <f t="shared" si="0"/>
        <v>4</v>
      </c>
      <c r="E35" s="527">
        <f t="shared" si="0"/>
        <v>4</v>
      </c>
      <c r="F35" s="479"/>
      <c r="G35" s="303"/>
      <c r="H35" s="303"/>
      <c r="I35" s="181"/>
      <c r="J35" s="303"/>
      <c r="K35" s="181"/>
      <c r="L35" s="303"/>
      <c r="M35" s="181"/>
      <c r="N35" s="303"/>
      <c r="O35" s="307"/>
      <c r="P35" s="527">
        <f t="shared" ref="P35" si="1">+P7</f>
        <v>4</v>
      </c>
      <c r="Q35" s="479"/>
      <c r="R35" s="303"/>
      <c r="S35" s="303"/>
      <c r="T35" s="181"/>
      <c r="U35" s="303"/>
      <c r="V35" s="181"/>
      <c r="W35" s="303"/>
      <c r="X35" s="181"/>
      <c r="Y35" s="303"/>
      <c r="Z35" s="307"/>
    </row>
    <row r="36" spans="1:26">
      <c r="A36" s="1034"/>
      <c r="B36" s="303" t="s">
        <v>248</v>
      </c>
      <c r="C36" s="527">
        <f t="shared" si="0"/>
        <v>6</v>
      </c>
      <c r="D36" s="527">
        <f t="shared" si="0"/>
        <v>7</v>
      </c>
      <c r="E36" s="527">
        <f t="shared" si="0"/>
        <v>7</v>
      </c>
      <c r="F36" s="479"/>
      <c r="G36" s="303"/>
      <c r="H36" s="303"/>
      <c r="I36" s="181"/>
      <c r="J36" s="303"/>
      <c r="K36" s="181"/>
      <c r="L36" s="303"/>
      <c r="M36" s="181"/>
      <c r="N36" s="303"/>
      <c r="O36" s="307"/>
      <c r="P36" s="527">
        <f t="shared" ref="P36" si="2">+P8</f>
        <v>7</v>
      </c>
      <c r="Q36" s="479"/>
      <c r="R36" s="303"/>
      <c r="S36" s="303"/>
      <c r="T36" s="181"/>
      <c r="U36" s="303"/>
      <c r="V36" s="181"/>
      <c r="W36" s="303"/>
      <c r="X36" s="181"/>
      <c r="Y36" s="303"/>
      <c r="Z36" s="307"/>
    </row>
    <row r="37" spans="1:26">
      <c r="A37" s="1034"/>
      <c r="B37" s="181" t="s">
        <v>249</v>
      </c>
      <c r="C37" s="528">
        <v>20</v>
      </c>
      <c r="D37" s="528">
        <v>20</v>
      </c>
      <c r="E37" s="528">
        <v>20</v>
      </c>
      <c r="F37" s="480"/>
      <c r="G37" s="181" t="s">
        <v>260</v>
      </c>
      <c r="I37" s="181"/>
      <c r="J37" s="181"/>
      <c r="K37" s="181"/>
      <c r="L37" s="181"/>
      <c r="M37" s="181"/>
      <c r="N37" s="181"/>
      <c r="O37" s="322"/>
      <c r="P37" s="528">
        <v>0</v>
      </c>
      <c r="Q37" s="480"/>
      <c r="R37" s="181" t="s">
        <v>493</v>
      </c>
      <c r="T37" s="181"/>
      <c r="U37" s="181"/>
      <c r="V37" s="181"/>
      <c r="W37" s="181"/>
      <c r="X37" s="181"/>
      <c r="Y37" s="181"/>
      <c r="Z37" s="322"/>
    </row>
    <row r="38" spans="1:26">
      <c r="A38" s="1035"/>
      <c r="B38" s="310" t="s">
        <v>541</v>
      </c>
      <c r="C38" s="529">
        <f>SUM(C33:C37)</f>
        <v>134</v>
      </c>
      <c r="D38" s="529">
        <f>SUM(D33:D37)</f>
        <v>135</v>
      </c>
      <c r="E38" s="529">
        <f>SUM(E33:E37)</f>
        <v>135</v>
      </c>
      <c r="F38" s="310"/>
      <c r="G38" s="310"/>
      <c r="H38" s="310"/>
      <c r="I38" s="310"/>
      <c r="J38" s="310"/>
      <c r="K38" s="310"/>
      <c r="L38" s="310"/>
      <c r="M38" s="310"/>
      <c r="N38" s="310"/>
      <c r="O38" s="321"/>
      <c r="P38" s="529">
        <f>SUM(P33:P37)</f>
        <v>115</v>
      </c>
      <c r="Q38" s="310"/>
      <c r="R38" s="310"/>
      <c r="S38" s="310"/>
      <c r="T38" s="310"/>
      <c r="U38" s="310"/>
      <c r="V38" s="310"/>
      <c r="W38" s="310"/>
      <c r="X38" s="310"/>
      <c r="Y38" s="310"/>
      <c r="Z38" s="321"/>
    </row>
    <row r="39" spans="1:26">
      <c r="A39" s="1023" t="s">
        <v>251</v>
      </c>
      <c r="B39" s="149" t="s">
        <v>543</v>
      </c>
      <c r="C39" s="530">
        <v>1</v>
      </c>
      <c r="D39" s="530">
        <v>1</v>
      </c>
      <c r="E39" s="530">
        <v>1</v>
      </c>
      <c r="F39" s="159"/>
      <c r="G39" s="149"/>
      <c r="H39" s="149"/>
      <c r="I39" s="202"/>
      <c r="J39" s="149"/>
      <c r="K39" s="202"/>
      <c r="L39" s="149"/>
      <c r="M39" s="202"/>
      <c r="N39" s="149"/>
      <c r="O39" s="306"/>
      <c r="P39" s="530">
        <v>2</v>
      </c>
      <c r="Q39" s="159"/>
      <c r="R39" s="149" t="s">
        <v>542</v>
      </c>
      <c r="S39" s="149"/>
      <c r="T39" s="202"/>
      <c r="U39" s="149"/>
      <c r="V39" s="202"/>
      <c r="W39" s="149"/>
      <c r="X39" s="202"/>
      <c r="Y39" s="149"/>
      <c r="Z39" s="306"/>
    </row>
    <row r="40" spans="1:26">
      <c r="A40" s="1022"/>
      <c r="B40" s="309" t="s">
        <v>494</v>
      </c>
      <c r="C40" s="531">
        <v>25</v>
      </c>
      <c r="D40" s="531">
        <v>25</v>
      </c>
      <c r="E40" s="531">
        <v>25</v>
      </c>
      <c r="F40" s="481"/>
      <c r="G40" s="309"/>
      <c r="H40" s="309"/>
      <c r="I40" s="310"/>
      <c r="J40" s="309"/>
      <c r="K40" s="310"/>
      <c r="L40" s="309"/>
      <c r="M40" s="310"/>
      <c r="N40" s="309"/>
      <c r="O40" s="311"/>
      <c r="P40" s="531">
        <v>25</v>
      </c>
      <c r="Q40" s="481"/>
      <c r="R40" s="309"/>
      <c r="S40" s="309"/>
      <c r="T40" s="310"/>
      <c r="U40" s="309"/>
      <c r="V40" s="310"/>
      <c r="W40" s="309"/>
      <c r="X40" s="310"/>
      <c r="Y40" s="309"/>
      <c r="Z40" s="311"/>
    </row>
    <row r="41" spans="1:26" ht="29" customHeight="1" thickBot="1">
      <c r="A41" s="323" t="s">
        <v>242</v>
      </c>
      <c r="B41" s="498" t="s">
        <v>544</v>
      </c>
      <c r="C41" s="532">
        <f>+C38*C39*C40</f>
        <v>3350</v>
      </c>
      <c r="D41" s="532">
        <f>+D38*D39*D40</f>
        <v>3375</v>
      </c>
      <c r="E41" s="533">
        <f>+E38*E39*E40</f>
        <v>3375</v>
      </c>
      <c r="F41" s="489"/>
      <c r="G41" s="488"/>
      <c r="H41" s="1046"/>
      <c r="I41" s="1046"/>
      <c r="J41" s="1046"/>
      <c r="K41" s="1046"/>
      <c r="L41" s="1046"/>
      <c r="M41" s="1046"/>
      <c r="N41" s="1046"/>
      <c r="O41" s="1047"/>
      <c r="P41" s="533">
        <f>+P38*P39*P40</f>
        <v>5750</v>
      </c>
      <c r="Q41" s="489"/>
      <c r="R41" s="488"/>
      <c r="S41" s="1046"/>
      <c r="T41" s="1046"/>
      <c r="U41" s="1046"/>
      <c r="V41" s="1046"/>
      <c r="W41" s="1046"/>
      <c r="X41" s="1046"/>
      <c r="Y41" s="1046"/>
      <c r="Z41" s="1047"/>
    </row>
    <row r="42" spans="1:26" ht="15.5" thickTop="1" thickBot="1">
      <c r="A42" s="1024" t="s">
        <v>262</v>
      </c>
      <c r="B42" s="1025"/>
      <c r="C42" s="1025"/>
      <c r="D42" s="1025"/>
      <c r="E42" s="1025"/>
      <c r="F42" s="1025"/>
      <c r="G42" s="1025"/>
      <c r="H42" s="1025"/>
      <c r="I42" s="1025"/>
      <c r="J42" s="1025"/>
      <c r="K42" s="1025"/>
      <c r="L42" s="1025"/>
      <c r="M42" s="1025"/>
      <c r="N42" s="1025"/>
      <c r="O42" s="1037"/>
    </row>
    <row r="43" spans="1:26" ht="15" customHeight="1" thickTop="1">
      <c r="A43" s="1020" t="s">
        <v>545</v>
      </c>
      <c r="B43" s="317" t="s">
        <v>481</v>
      </c>
      <c r="C43" s="523">
        <f>+C10</f>
        <v>15</v>
      </c>
      <c r="D43" s="523">
        <f>+D10</f>
        <v>15</v>
      </c>
      <c r="E43" s="523">
        <f>+E10</f>
        <v>15</v>
      </c>
      <c r="F43" s="475"/>
      <c r="G43" s="1038" t="str">
        <f>+G10</f>
        <v>Memorial Day (May 25) - Labor Day (Sept 7)</v>
      </c>
      <c r="H43" s="1038"/>
      <c r="I43" s="1038"/>
      <c r="J43" s="1038"/>
      <c r="K43" s="1038"/>
      <c r="L43" s="1038"/>
      <c r="M43" s="1038"/>
      <c r="N43" s="1038"/>
      <c r="O43" s="1039"/>
      <c r="P43" s="523">
        <f>+P10</f>
        <v>15</v>
      </c>
      <c r="Q43" s="475"/>
      <c r="R43" s="1038" t="str">
        <f>+R10</f>
        <v>Memorial Day (May 30) - Labor Day (Sept 5)</v>
      </c>
      <c r="S43" s="1038"/>
      <c r="T43" s="1038"/>
      <c r="U43" s="1038"/>
      <c r="V43" s="1038"/>
      <c r="W43" s="1038"/>
      <c r="X43" s="1038"/>
      <c r="Y43" s="1038"/>
      <c r="Z43" s="1039"/>
    </row>
    <row r="44" spans="1:26">
      <c r="A44" s="1021"/>
      <c r="B44" s="303" t="s">
        <v>482</v>
      </c>
      <c r="C44" s="524">
        <v>1</v>
      </c>
      <c r="D44" s="524">
        <v>1</v>
      </c>
      <c r="E44" s="524">
        <v>1</v>
      </c>
      <c r="F44" s="476"/>
      <c r="G44" s="1040"/>
      <c r="H44" s="1040"/>
      <c r="I44" s="1040"/>
      <c r="J44" s="1040"/>
      <c r="K44" s="1040"/>
      <c r="L44" s="1040"/>
      <c r="M44" s="1040"/>
      <c r="N44" s="1040"/>
      <c r="O44" s="1041"/>
      <c r="P44" s="524">
        <v>1</v>
      </c>
      <c r="Q44" s="476"/>
      <c r="R44" s="1040"/>
      <c r="S44" s="1040"/>
      <c r="T44" s="1040"/>
      <c r="U44" s="1040"/>
      <c r="V44" s="1040"/>
      <c r="W44" s="1040"/>
      <c r="X44" s="1040"/>
      <c r="Y44" s="1040"/>
      <c r="Z44" s="1041"/>
    </row>
    <row r="45" spans="1:26">
      <c r="A45" s="1022"/>
      <c r="B45" s="309" t="s">
        <v>495</v>
      </c>
      <c r="C45" s="525">
        <f>+C43*C44</f>
        <v>15</v>
      </c>
      <c r="D45" s="525">
        <f>+D43*D44</f>
        <v>15</v>
      </c>
      <c r="E45" s="525">
        <f>+E43*E44</f>
        <v>15</v>
      </c>
      <c r="F45" s="477"/>
      <c r="G45" s="309"/>
      <c r="H45" s="309"/>
      <c r="I45" s="310"/>
      <c r="J45" s="309"/>
      <c r="K45" s="310"/>
      <c r="L45" s="309"/>
      <c r="M45" s="310"/>
      <c r="N45" s="309"/>
      <c r="O45" s="311"/>
      <c r="P45" s="525">
        <f>+P43*P44</f>
        <v>15</v>
      </c>
      <c r="Q45" s="477"/>
      <c r="R45" s="309"/>
      <c r="S45" s="309"/>
      <c r="T45" s="310"/>
      <c r="U45" s="309"/>
      <c r="V45" s="310"/>
      <c r="W45" s="309"/>
      <c r="X45" s="310"/>
      <c r="Y45" s="309"/>
      <c r="Z45" s="311"/>
    </row>
    <row r="46" spans="1:26">
      <c r="A46" s="1023" t="s">
        <v>251</v>
      </c>
      <c r="B46" s="149" t="s">
        <v>496</v>
      </c>
      <c r="C46" s="530">
        <v>3</v>
      </c>
      <c r="D46" s="530">
        <v>3</v>
      </c>
      <c r="E46" s="530">
        <v>3</v>
      </c>
      <c r="F46" s="159"/>
      <c r="G46" s="149" t="s">
        <v>252</v>
      </c>
      <c r="I46" s="202"/>
      <c r="J46" s="149"/>
      <c r="K46" s="202"/>
      <c r="L46" s="149"/>
      <c r="M46" s="202"/>
      <c r="N46" s="149"/>
      <c r="O46" s="306"/>
      <c r="P46" s="530">
        <v>3</v>
      </c>
      <c r="Q46" s="159"/>
      <c r="R46" s="149" t="s">
        <v>252</v>
      </c>
      <c r="T46" s="202"/>
      <c r="U46" s="149"/>
      <c r="V46" s="202"/>
      <c r="W46" s="149"/>
      <c r="X46" s="202"/>
      <c r="Y46" s="149"/>
      <c r="Z46" s="306"/>
    </row>
    <row r="47" spans="1:26">
      <c r="A47" s="1022"/>
      <c r="B47" s="309" t="s">
        <v>497</v>
      </c>
      <c r="C47" s="531">
        <v>50</v>
      </c>
      <c r="D47" s="531">
        <v>50</v>
      </c>
      <c r="E47" s="531">
        <v>50</v>
      </c>
      <c r="F47" s="481"/>
      <c r="G47" s="309"/>
      <c r="H47" s="309"/>
      <c r="I47" s="310"/>
      <c r="J47" s="309"/>
      <c r="K47" s="310"/>
      <c r="L47" s="309"/>
      <c r="M47" s="310"/>
      <c r="N47" s="309"/>
      <c r="O47" s="311"/>
      <c r="P47" s="531">
        <v>50</v>
      </c>
      <c r="Q47" s="481"/>
      <c r="R47" s="309"/>
      <c r="S47" s="309"/>
      <c r="T47" s="310"/>
      <c r="U47" s="309"/>
      <c r="V47" s="310"/>
      <c r="W47" s="309"/>
      <c r="X47" s="310"/>
      <c r="Y47" s="309"/>
      <c r="Z47" s="311"/>
    </row>
    <row r="48" spans="1:26" ht="15" thickBot="1">
      <c r="A48" s="337" t="s">
        <v>242</v>
      </c>
      <c r="B48" s="335" t="s">
        <v>254</v>
      </c>
      <c r="C48" s="534">
        <f>+C45*C46*C47</f>
        <v>2250</v>
      </c>
      <c r="D48" s="534">
        <f>+D45*D46*D47</f>
        <v>2250</v>
      </c>
      <c r="E48" s="534">
        <f>+E45*E46*E47</f>
        <v>2250</v>
      </c>
      <c r="F48" s="482"/>
      <c r="G48" s="202"/>
      <c r="H48" s="202"/>
      <c r="I48" s="202"/>
      <c r="J48" s="202"/>
      <c r="K48" s="202"/>
      <c r="L48" s="202"/>
      <c r="M48" s="202"/>
      <c r="N48" s="202"/>
      <c r="O48" s="336"/>
      <c r="P48" s="534">
        <f>+P45*P46*P47</f>
        <v>2250</v>
      </c>
      <c r="Q48" s="482"/>
      <c r="R48" s="202"/>
      <c r="S48" s="202"/>
      <c r="T48" s="202"/>
      <c r="U48" s="202"/>
      <c r="V48" s="202"/>
      <c r="W48" s="202"/>
      <c r="X48" s="202"/>
      <c r="Y48" s="202"/>
      <c r="Z48" s="336"/>
    </row>
    <row r="49" spans="1:26" ht="15" customHeight="1">
      <c r="A49" s="1036" t="s">
        <v>251</v>
      </c>
      <c r="B49" s="338" t="s">
        <v>256</v>
      </c>
      <c r="C49" s="535">
        <v>2</v>
      </c>
      <c r="D49" s="535">
        <v>2</v>
      </c>
      <c r="E49" s="535">
        <v>2</v>
      </c>
      <c r="F49" s="483"/>
      <c r="G49" s="338" t="s">
        <v>252</v>
      </c>
      <c r="H49" s="338"/>
      <c r="I49" s="339"/>
      <c r="J49" s="338"/>
      <c r="K49" s="339"/>
      <c r="L49" s="338"/>
      <c r="M49" s="339"/>
      <c r="N49" s="338"/>
      <c r="O49" s="340"/>
      <c r="P49" s="535">
        <v>2</v>
      </c>
      <c r="Q49" s="483"/>
      <c r="R49" s="338" t="s">
        <v>252</v>
      </c>
      <c r="S49" s="338"/>
      <c r="T49" s="339"/>
      <c r="U49" s="338"/>
      <c r="V49" s="339"/>
      <c r="W49" s="338"/>
      <c r="X49" s="339"/>
      <c r="Y49" s="338"/>
      <c r="Z49" s="340"/>
    </row>
    <row r="50" spans="1:26" ht="15" customHeight="1">
      <c r="A50" s="1022"/>
      <c r="B50" s="309" t="s">
        <v>255</v>
      </c>
      <c r="C50" s="531">
        <v>25</v>
      </c>
      <c r="D50" s="531">
        <v>25</v>
      </c>
      <c r="E50" s="531">
        <v>25</v>
      </c>
      <c r="F50" s="481"/>
      <c r="G50" s="309"/>
      <c r="H50" s="309"/>
      <c r="I50" s="310"/>
      <c r="J50" s="309"/>
      <c r="K50" s="310"/>
      <c r="L50" s="309"/>
      <c r="M50" s="310"/>
      <c r="N50" s="309"/>
      <c r="O50" s="311"/>
      <c r="P50" s="531">
        <v>25</v>
      </c>
      <c r="Q50" s="481"/>
      <c r="R50" s="309"/>
      <c r="S50" s="309"/>
      <c r="T50" s="310"/>
      <c r="U50" s="309"/>
      <c r="V50" s="310"/>
      <c r="W50" s="309"/>
      <c r="X50" s="310"/>
      <c r="Y50" s="309"/>
      <c r="Z50" s="311"/>
    </row>
    <row r="51" spans="1:26" ht="15" thickBot="1">
      <c r="A51" s="341" t="s">
        <v>242</v>
      </c>
      <c r="B51" s="342" t="s">
        <v>257</v>
      </c>
      <c r="C51" s="536">
        <f>+C43*C49*C50</f>
        <v>750</v>
      </c>
      <c r="D51" s="536">
        <f>+D43*D49*D50</f>
        <v>750</v>
      </c>
      <c r="E51" s="536">
        <f>+E43*E49*E50</f>
        <v>750</v>
      </c>
      <c r="F51" s="484"/>
      <c r="G51" s="343"/>
      <c r="H51" s="343"/>
      <c r="I51" s="343"/>
      <c r="J51" s="343"/>
      <c r="K51" s="343"/>
      <c r="L51" s="343"/>
      <c r="M51" s="343"/>
      <c r="N51" s="343"/>
      <c r="O51" s="344"/>
      <c r="P51" s="536">
        <f>+P43*P49*P50</f>
        <v>750</v>
      </c>
      <c r="Q51" s="484"/>
      <c r="R51" s="343"/>
      <c r="S51" s="343"/>
      <c r="T51" s="343"/>
      <c r="U51" s="343"/>
      <c r="V51" s="343"/>
      <c r="W51" s="343"/>
      <c r="X51" s="343"/>
      <c r="Y51" s="343"/>
      <c r="Z51" s="344"/>
    </row>
    <row r="52" spans="1:26" ht="15" thickBot="1">
      <c r="A52" s="323" t="s">
        <v>242</v>
      </c>
      <c r="B52" s="315" t="s">
        <v>258</v>
      </c>
      <c r="C52" s="537">
        <f>+C48+C51</f>
        <v>3000</v>
      </c>
      <c r="D52" s="537">
        <f>+D48+D51</f>
        <v>3000</v>
      </c>
      <c r="E52" s="538">
        <f>+E48+E51</f>
        <v>3000</v>
      </c>
      <c r="F52" s="490"/>
      <c r="G52" s="447"/>
      <c r="H52" s="447"/>
      <c r="I52" s="447"/>
      <c r="J52" s="447"/>
      <c r="K52" s="447"/>
      <c r="L52" s="447"/>
      <c r="M52" s="447"/>
      <c r="N52" s="447"/>
      <c r="O52" s="487"/>
      <c r="P52" s="538">
        <f>+P48+P51</f>
        <v>3000</v>
      </c>
      <c r="Q52" s="490"/>
      <c r="R52" s="447"/>
      <c r="S52" s="447"/>
      <c r="T52" s="447"/>
      <c r="U52" s="447"/>
      <c r="V52" s="447"/>
      <c r="W52" s="447"/>
      <c r="X52" s="447"/>
      <c r="Y52" s="447"/>
      <c r="Z52" s="487"/>
    </row>
    <row r="53" spans="1:26" ht="15.5" thickTop="1" thickBot="1">
      <c r="A53" s="1024" t="s">
        <v>219</v>
      </c>
      <c r="B53" s="1025"/>
      <c r="C53" s="1025"/>
      <c r="D53" s="1025"/>
      <c r="E53" s="1025"/>
      <c r="F53" s="1025"/>
      <c r="G53" s="1025"/>
      <c r="H53" s="1025"/>
      <c r="I53" s="1025"/>
      <c r="J53" s="1025"/>
      <c r="K53" s="1025"/>
      <c r="L53" s="1025"/>
      <c r="M53" s="1025"/>
      <c r="N53" s="1025"/>
      <c r="O53" s="1037"/>
    </row>
    <row r="54" spans="1:26" ht="15" customHeight="1" thickTop="1">
      <c r="A54" s="1020" t="s">
        <v>545</v>
      </c>
      <c r="B54" s="317" t="s">
        <v>481</v>
      </c>
      <c r="C54" s="523">
        <f>+C14</f>
        <v>37</v>
      </c>
      <c r="D54" s="523">
        <f>+D14</f>
        <v>37</v>
      </c>
      <c r="E54" s="523">
        <f>+E14</f>
        <v>37</v>
      </c>
      <c r="F54" s="475"/>
      <c r="G54" s="317"/>
      <c r="H54" s="317" t="s">
        <v>253</v>
      </c>
      <c r="I54" s="318"/>
      <c r="J54" s="317"/>
      <c r="K54" s="318"/>
      <c r="L54" s="317"/>
      <c r="M54" s="318"/>
      <c r="N54" s="317"/>
      <c r="O54" s="319"/>
      <c r="P54" s="523">
        <f>+P14</f>
        <v>37</v>
      </c>
      <c r="Q54" s="475"/>
      <c r="R54" s="317"/>
      <c r="S54" s="317" t="s">
        <v>253</v>
      </c>
      <c r="T54" s="318"/>
      <c r="U54" s="317"/>
      <c r="V54" s="318"/>
      <c r="W54" s="317"/>
      <c r="X54" s="318"/>
      <c r="Y54" s="317"/>
      <c r="Z54" s="319"/>
    </row>
    <row r="55" spans="1:26">
      <c r="A55" s="1021"/>
      <c r="B55" s="303" t="s">
        <v>482</v>
      </c>
      <c r="C55" s="524">
        <v>1</v>
      </c>
      <c r="D55" s="524">
        <v>1</v>
      </c>
      <c r="E55" s="524">
        <v>1</v>
      </c>
      <c r="F55" s="476"/>
      <c r="G55" s="303"/>
      <c r="H55" s="303"/>
      <c r="I55" s="181"/>
      <c r="J55" s="303"/>
      <c r="K55" s="181"/>
      <c r="L55" s="303"/>
      <c r="M55" s="181"/>
      <c r="N55" s="303"/>
      <c r="O55" s="307"/>
      <c r="P55" s="524">
        <v>1</v>
      </c>
      <c r="Q55" s="476"/>
      <c r="R55" s="303"/>
      <c r="S55" s="303"/>
      <c r="T55" s="181"/>
      <c r="U55" s="303"/>
      <c r="V55" s="181"/>
      <c r="W55" s="303"/>
      <c r="X55" s="181"/>
      <c r="Y55" s="303"/>
      <c r="Z55" s="307"/>
    </row>
    <row r="56" spans="1:26">
      <c r="A56" s="1022"/>
      <c r="B56" s="309" t="s">
        <v>495</v>
      </c>
      <c r="C56" s="525">
        <f>+C54*C55</f>
        <v>37</v>
      </c>
      <c r="D56" s="525">
        <f>+D54*D55</f>
        <v>37</v>
      </c>
      <c r="E56" s="525">
        <f>+E54*E55</f>
        <v>37</v>
      </c>
      <c r="F56" s="477"/>
      <c r="G56" s="309"/>
      <c r="H56" s="309"/>
      <c r="I56" s="310"/>
      <c r="J56" s="309"/>
      <c r="K56" s="310"/>
      <c r="L56" s="309"/>
      <c r="M56" s="310"/>
      <c r="N56" s="309"/>
      <c r="O56" s="311"/>
      <c r="P56" s="525">
        <f>+P54*P55</f>
        <v>37</v>
      </c>
      <c r="Q56" s="477"/>
      <c r="R56" s="309"/>
      <c r="S56" s="309"/>
      <c r="T56" s="310"/>
      <c r="U56" s="309"/>
      <c r="V56" s="310"/>
      <c r="W56" s="309"/>
      <c r="X56" s="310"/>
      <c r="Y56" s="309"/>
      <c r="Z56" s="311"/>
    </row>
    <row r="57" spans="1:26">
      <c r="A57" s="1023" t="s">
        <v>251</v>
      </c>
      <c r="B57" s="149" t="s">
        <v>498</v>
      </c>
      <c r="C57" s="530">
        <v>1</v>
      </c>
      <c r="D57" s="530">
        <v>1</v>
      </c>
      <c r="E57" s="530">
        <v>1</v>
      </c>
      <c r="F57" s="159"/>
      <c r="G57" s="149"/>
      <c r="H57" s="149"/>
      <c r="I57" s="202"/>
      <c r="J57" s="149"/>
      <c r="K57" s="202"/>
      <c r="L57" s="149"/>
      <c r="M57" s="202"/>
      <c r="N57" s="149"/>
      <c r="O57" s="306"/>
      <c r="P57" s="530">
        <v>1</v>
      </c>
      <c r="Q57" s="159"/>
      <c r="R57" s="149"/>
      <c r="S57" s="149"/>
      <c r="T57" s="202"/>
      <c r="U57" s="149"/>
      <c r="V57" s="202"/>
      <c r="W57" s="149"/>
      <c r="X57" s="202"/>
      <c r="Y57" s="149"/>
      <c r="Z57" s="306"/>
    </row>
    <row r="58" spans="1:26">
      <c r="A58" s="1022"/>
      <c r="B58" s="309" t="s">
        <v>497</v>
      </c>
      <c r="C58" s="531">
        <v>25</v>
      </c>
      <c r="D58" s="531">
        <v>25</v>
      </c>
      <c r="E58" s="531">
        <v>25</v>
      </c>
      <c r="F58" s="481"/>
      <c r="G58" s="309"/>
      <c r="H58" s="309"/>
      <c r="I58" s="310"/>
      <c r="J58" s="309"/>
      <c r="K58" s="310"/>
      <c r="L58" s="309"/>
      <c r="M58" s="310"/>
      <c r="N58" s="309"/>
      <c r="O58" s="311"/>
      <c r="P58" s="531">
        <v>25</v>
      </c>
      <c r="Q58" s="481"/>
      <c r="R58" s="309"/>
      <c r="S58" s="309"/>
      <c r="T58" s="310"/>
      <c r="U58" s="309"/>
      <c r="V58" s="310"/>
      <c r="W58" s="309"/>
      <c r="X58" s="310"/>
      <c r="Y58" s="309"/>
      <c r="Z58" s="311"/>
    </row>
    <row r="59" spans="1:26" ht="15" thickBot="1">
      <c r="A59" s="323" t="s">
        <v>242</v>
      </c>
      <c r="B59" s="498" t="s">
        <v>457</v>
      </c>
      <c r="C59" s="532">
        <f>+C56*C57*C58</f>
        <v>925</v>
      </c>
      <c r="D59" s="532">
        <f>+D56*D57*D58</f>
        <v>925</v>
      </c>
      <c r="E59" s="533">
        <f>+E56*E57*E58</f>
        <v>925</v>
      </c>
      <c r="F59" s="489"/>
      <c r="G59" s="488"/>
      <c r="H59" s="488"/>
      <c r="I59" s="488"/>
      <c r="J59" s="488"/>
      <c r="K59" s="488"/>
      <c r="L59" s="488"/>
      <c r="M59" s="488"/>
      <c r="N59" s="488"/>
      <c r="O59" s="491"/>
      <c r="P59" s="533">
        <f>+P56*P57*P58</f>
        <v>925</v>
      </c>
      <c r="Q59" s="489"/>
      <c r="R59" s="488"/>
      <c r="S59" s="488"/>
      <c r="T59" s="488"/>
      <c r="U59" s="488"/>
      <c r="V59" s="488"/>
      <c r="W59" s="488"/>
      <c r="X59" s="488"/>
      <c r="Y59" s="488"/>
      <c r="Z59" s="491"/>
    </row>
    <row r="60" spans="1:26" ht="15.5" thickTop="1" thickBot="1">
      <c r="C60" s="304"/>
      <c r="D60" s="304"/>
      <c r="E60" s="304"/>
      <c r="F60" s="492"/>
      <c r="G60" s="200"/>
      <c r="H60" s="200"/>
      <c r="I60" s="200"/>
      <c r="J60" s="200"/>
      <c r="K60" s="200"/>
      <c r="L60" s="200"/>
      <c r="M60" s="200"/>
      <c r="N60" s="200"/>
      <c r="O60" s="200"/>
      <c r="P60" s="304"/>
      <c r="Q60" s="492"/>
      <c r="R60" s="200"/>
      <c r="S60" s="200"/>
      <c r="T60" s="200"/>
      <c r="U60" s="200"/>
      <c r="V60" s="200"/>
      <c r="W60" s="200"/>
      <c r="X60" s="200"/>
      <c r="Y60" s="200"/>
      <c r="Z60" s="200"/>
    </row>
    <row r="61" spans="1:26" ht="15.5" thickTop="1" thickBot="1">
      <c r="A61" s="1024" t="s">
        <v>305</v>
      </c>
      <c r="B61" s="1025"/>
      <c r="C61" s="539">
        <f>+C12+C29+C41+C52+C59</f>
        <v>23565</v>
      </c>
      <c r="D61" s="836">
        <f>+D12+D29+D41+D52+D59</f>
        <v>24160</v>
      </c>
      <c r="E61" s="837">
        <f>+E12+E29+E41+E52+E59</f>
        <v>24191</v>
      </c>
      <c r="F61" s="494"/>
      <c r="G61" s="181"/>
      <c r="H61" s="181"/>
      <c r="I61" s="181"/>
      <c r="J61" s="181"/>
      <c r="K61" s="181"/>
      <c r="L61" s="181"/>
      <c r="M61" s="181"/>
      <c r="N61" s="181"/>
      <c r="O61" s="181"/>
      <c r="P61" s="835">
        <f>+P12+P29+P41+P52+P59</f>
        <v>26228</v>
      </c>
      <c r="Q61" s="494"/>
      <c r="R61" s="181"/>
      <c r="S61" s="181"/>
      <c r="T61" s="181"/>
      <c r="U61" s="181"/>
      <c r="V61" s="181"/>
      <c r="W61" s="181"/>
      <c r="X61" s="181"/>
      <c r="Y61" s="181"/>
      <c r="Z61" s="181"/>
    </row>
    <row r="62" spans="1:26" ht="15" thickTop="1">
      <c r="A62" s="1016" t="s">
        <v>306</v>
      </c>
      <c r="B62" s="1017"/>
      <c r="C62" s="446"/>
      <c r="D62" s="446"/>
      <c r="E62" s="838">
        <f>+E61-D61</f>
        <v>31</v>
      </c>
      <c r="F62" s="494"/>
      <c r="G62" s="181"/>
      <c r="H62" s="181"/>
      <c r="I62" s="181"/>
      <c r="J62" s="181"/>
      <c r="K62" s="181"/>
      <c r="L62" s="181"/>
      <c r="M62" s="181"/>
      <c r="N62" s="181"/>
      <c r="O62" s="181"/>
      <c r="P62" s="833">
        <f>+P61-E61</f>
        <v>2037</v>
      </c>
      <c r="Q62" s="494"/>
      <c r="R62" s="181"/>
      <c r="S62" s="181"/>
      <c r="T62" s="181"/>
      <c r="U62" s="181"/>
      <c r="V62" s="181"/>
      <c r="W62" s="181"/>
      <c r="X62" s="181"/>
      <c r="Y62" s="181"/>
      <c r="Z62" s="181"/>
    </row>
    <row r="63" spans="1:26" ht="15" thickBot="1">
      <c r="A63" s="1018"/>
      <c r="B63" s="1019"/>
      <c r="C63" s="490"/>
      <c r="D63" s="490"/>
      <c r="E63" s="839">
        <f>+E62/D61</f>
        <v>1.2831125827814569E-3</v>
      </c>
      <c r="F63" s="495"/>
      <c r="G63" s="181"/>
      <c r="H63" s="181"/>
      <c r="I63" s="181"/>
      <c r="J63" s="181"/>
      <c r="K63" s="181"/>
      <c r="L63" s="181"/>
      <c r="M63" s="181"/>
      <c r="N63" s="181"/>
      <c r="O63" s="181"/>
      <c r="P63" s="834">
        <f>+P62/E61</f>
        <v>8.420486957959572E-2</v>
      </c>
      <c r="Q63" s="495"/>
      <c r="R63" s="181"/>
      <c r="S63" s="181"/>
      <c r="T63" s="181"/>
      <c r="U63" s="181"/>
      <c r="V63" s="181"/>
      <c r="W63" s="181"/>
      <c r="X63" s="181"/>
      <c r="Y63" s="181"/>
      <c r="Z63" s="181"/>
    </row>
    <row r="64" spans="1:26" ht="15" thickTop="1">
      <c r="F64" s="303"/>
      <c r="G64" s="303"/>
      <c r="H64" s="303"/>
      <c r="I64" s="181"/>
      <c r="J64" s="303"/>
      <c r="K64" s="181"/>
      <c r="L64" s="303"/>
      <c r="M64" s="181"/>
      <c r="N64" s="303"/>
      <c r="O64" s="303"/>
      <c r="Q64" s="303"/>
      <c r="R64" s="303"/>
      <c r="S64" s="303"/>
      <c r="T64" s="181"/>
      <c r="U64" s="303"/>
      <c r="V64" s="181"/>
      <c r="W64" s="303"/>
      <c r="X64" s="181"/>
      <c r="Y64" s="303"/>
      <c r="Z64" s="303"/>
    </row>
    <row r="65" spans="4:24">
      <c r="D65" s="143"/>
      <c r="I65" s="200"/>
      <c r="K65" s="200"/>
      <c r="M65" s="200"/>
      <c r="T65" s="200"/>
      <c r="V65" s="200"/>
      <c r="X65" s="200"/>
    </row>
    <row r="66" spans="4:24">
      <c r="I66" s="200"/>
      <c r="K66" s="200"/>
      <c r="M66" s="200"/>
      <c r="T66" s="200"/>
      <c r="V66" s="200"/>
      <c r="X66" s="200"/>
    </row>
    <row r="67" spans="4:24">
      <c r="I67" s="200"/>
      <c r="K67" s="200"/>
      <c r="M67" s="200"/>
      <c r="T67" s="200"/>
      <c r="V67" s="200"/>
      <c r="X67" s="200"/>
    </row>
    <row r="68" spans="4:24">
      <c r="I68" s="200"/>
      <c r="K68" s="200"/>
      <c r="M68" s="200"/>
      <c r="T68" s="200"/>
      <c r="V68" s="200"/>
      <c r="X68" s="200"/>
    </row>
    <row r="69" spans="4:24">
      <c r="I69" s="200"/>
      <c r="K69" s="200"/>
      <c r="M69" s="200"/>
      <c r="T69" s="200"/>
      <c r="V69" s="200"/>
      <c r="X69" s="200"/>
    </row>
    <row r="70" spans="4:24">
      <c r="I70" s="200"/>
      <c r="K70" s="200"/>
      <c r="M70" s="200"/>
      <c r="T70" s="200"/>
      <c r="V70" s="200"/>
      <c r="X70" s="200"/>
    </row>
    <row r="71" spans="4:24">
      <c r="I71" s="200"/>
      <c r="K71" s="200"/>
      <c r="M71" s="200"/>
      <c r="T71" s="200"/>
      <c r="V71" s="200"/>
      <c r="X71" s="200"/>
    </row>
    <row r="72" spans="4:24">
      <c r="I72" s="200"/>
      <c r="K72" s="200"/>
      <c r="M72" s="200"/>
      <c r="T72" s="200"/>
      <c r="V72" s="200"/>
      <c r="X72" s="200"/>
    </row>
    <row r="73" spans="4:24">
      <c r="I73" s="200"/>
      <c r="K73" s="200"/>
      <c r="M73" s="200"/>
      <c r="T73" s="200"/>
      <c r="V73" s="200"/>
      <c r="X73" s="200"/>
    </row>
    <row r="74" spans="4:24">
      <c r="I74" s="200"/>
      <c r="K74" s="200"/>
      <c r="M74" s="200"/>
      <c r="T74" s="200"/>
      <c r="V74" s="200"/>
      <c r="X74" s="200"/>
    </row>
    <row r="75" spans="4:24">
      <c r="I75" s="200"/>
      <c r="K75" s="200"/>
      <c r="M75" s="200"/>
      <c r="T75" s="200"/>
      <c r="V75" s="200"/>
      <c r="X75" s="200"/>
    </row>
    <row r="76" spans="4:24">
      <c r="I76" s="200"/>
      <c r="K76" s="200"/>
      <c r="M76" s="200"/>
      <c r="T76" s="200"/>
      <c r="V76" s="200"/>
      <c r="X76" s="200"/>
    </row>
    <row r="77" spans="4:24">
      <c r="I77" s="200"/>
      <c r="K77" s="200"/>
      <c r="M77" s="200"/>
      <c r="T77" s="200"/>
      <c r="V77" s="200"/>
      <c r="X77" s="200"/>
    </row>
    <row r="78" spans="4:24">
      <c r="I78" s="200"/>
      <c r="K78" s="200"/>
      <c r="M78" s="200"/>
      <c r="T78" s="200"/>
      <c r="V78" s="200"/>
      <c r="X78" s="200"/>
    </row>
    <row r="79" spans="4:24">
      <c r="I79" s="200"/>
      <c r="K79" s="200"/>
      <c r="M79" s="200"/>
      <c r="T79" s="200"/>
      <c r="V79" s="200"/>
      <c r="X79" s="200"/>
    </row>
  </sheetData>
  <mergeCells count="27">
    <mergeCell ref="G43:O44"/>
    <mergeCell ref="Q3:Z3"/>
    <mergeCell ref="R12:Z12"/>
    <mergeCell ref="R14:Z15"/>
    <mergeCell ref="S41:Z41"/>
    <mergeCell ref="R43:Z44"/>
    <mergeCell ref="H41:O41"/>
    <mergeCell ref="A13:O13"/>
    <mergeCell ref="F3:O3"/>
    <mergeCell ref="G12:O12"/>
    <mergeCell ref="G14:O15"/>
    <mergeCell ref="A1:Z1"/>
    <mergeCell ref="A62:B63"/>
    <mergeCell ref="A54:A56"/>
    <mergeCell ref="A57:A58"/>
    <mergeCell ref="A61:B61"/>
    <mergeCell ref="A14:A22"/>
    <mergeCell ref="A23:A26"/>
    <mergeCell ref="A27:A29"/>
    <mergeCell ref="A31:A38"/>
    <mergeCell ref="A39:A40"/>
    <mergeCell ref="A49:A50"/>
    <mergeCell ref="A30:O30"/>
    <mergeCell ref="A42:O42"/>
    <mergeCell ref="A53:O53"/>
    <mergeCell ref="A43:A45"/>
    <mergeCell ref="A46:A47"/>
  </mergeCells>
  <printOptions horizontalCentered="1" verticalCentered="1"/>
  <pageMargins left="0.2" right="0.2" top="0.25" bottom="0.25" header="0.3" footer="0.3"/>
  <pageSetup scale="75" orientation="portrait" horizontalDpi="4294967293" verticalDpi="0" r:id="rId1"/>
  <headerFooter>
    <oddFooter>&amp;R&amp;D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4</vt:i4>
      </vt:variant>
    </vt:vector>
  </HeadingPairs>
  <TitlesOfParts>
    <vt:vector size="19" baseType="lpstr">
      <vt:lpstr>Top Sheet</vt:lpstr>
      <vt:lpstr>Summary New Year</vt:lpstr>
      <vt:lpstr>Annual Report</vt:lpstr>
      <vt:lpstr>New Year-Full Year</vt:lpstr>
      <vt:lpstr>Analysis of Rates</vt:lpstr>
      <vt:lpstr>Pastor</vt:lpstr>
      <vt:lpstr>Comparison</vt:lpstr>
      <vt:lpstr>Assoc. Pastor</vt:lpstr>
      <vt:lpstr>Band and Other Music</vt:lpstr>
      <vt:lpstr>Rates for Cheryl</vt:lpstr>
      <vt:lpstr>Expenses</vt:lpstr>
      <vt:lpstr>Benevolence</vt:lpstr>
      <vt:lpstr>Dec Council Meeting</vt:lpstr>
      <vt:lpstr>Options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2022-01-04T22:16:11Z</cp:lastPrinted>
  <dcterms:created xsi:type="dcterms:W3CDTF">2011-12-01T18:07:46Z</dcterms:created>
  <dcterms:modified xsi:type="dcterms:W3CDTF">2022-01-04T23:18:43Z</dcterms:modified>
</cp:coreProperties>
</file>